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956" activeTab="0"/>
  </bookViews>
  <sheets>
    <sheet name="Opgave 1, 2008" sheetId="1" r:id="rId1"/>
    <sheet name="Opgave 1" sheetId="2" r:id="rId2"/>
    <sheet name="Opgave 2.1" sheetId="3" r:id="rId3"/>
    <sheet name="Opgave 2.2" sheetId="4" r:id="rId4"/>
    <sheet name="Differensinvesteringen" sheetId="5" r:id="rId5"/>
    <sheet name="Finansering opgave 3" sheetId="6" r:id="rId6"/>
    <sheet name="Effektiv rente annuitetslån" sheetId="7" r:id="rId7"/>
    <sheet name="note annuitetslån" sheetId="8" r:id="rId8"/>
    <sheet name="Effektiv rente serielån" sheetId="9" r:id="rId9"/>
    <sheet name="note serielån" sheetId="10" r:id="rId10"/>
    <sheet name="Effektiv rente stående lån" sheetId="11" r:id="rId11"/>
    <sheet name="note stående lån" sheetId="12" r:id="rId12"/>
    <sheet name=" opgave 4 Resultatkontrol " sheetId="13" r:id="rId13"/>
    <sheet name="opgave 5 Resultatbudget" sheetId="14" r:id="rId14"/>
    <sheet name="opgave 5 Balance" sheetId="15" r:id="rId15"/>
    <sheet name="opgave 5 Likviditetsbudget" sheetId="16" r:id="rId16"/>
  </sheets>
  <externalReferences>
    <externalReference r:id="rId19"/>
  </externalReferences>
  <definedNames>
    <definedName name="_xlnm.Print_Area" localSheetId="5">'Finansering opgave 3'!$A$1:$N$65</definedName>
  </definedNames>
  <calcPr fullCalcOnLoad="1"/>
</workbook>
</file>

<file path=xl/comments11.xml><?xml version="1.0" encoding="utf-8"?>
<comments xmlns="http://schemas.openxmlformats.org/spreadsheetml/2006/main">
  <authors>
    <author>Brygger</author>
  </authors>
  <commentList>
    <comment ref="A380" authorId="0">
      <text>
        <r>
          <rPr>
            <b/>
            <sz val="8"/>
            <rFont val="Tahoma"/>
            <family val="2"/>
          </rPr>
          <t>Marker de 2 rækker 59 og 380,
højre klik på musen,
vælg vis. 
Lånet får dermed 360 terminer. 
(30 år af 12 terminer)</t>
        </r>
      </text>
    </comment>
  </commentList>
</comments>
</file>

<file path=xl/comments13.xml><?xml version="1.0" encoding="utf-8"?>
<comments xmlns="http://schemas.openxmlformats.org/spreadsheetml/2006/main">
  <authors>
    <author>Roskilde Handelsskole</author>
  </authors>
  <commentList>
    <comment ref="F5" authorId="0">
      <text>
        <r>
          <rPr>
            <b/>
            <sz val="8"/>
            <rFont val="Tahoma"/>
            <family val="0"/>
          </rPr>
          <t xml:space="preserve">Faktisk afsætning gange budget pris
</t>
        </r>
      </text>
    </comment>
    <comment ref="E30" authorId="0">
      <text>
        <r>
          <rPr>
            <sz val="8"/>
            <rFont val="Tahoma"/>
            <family val="0"/>
          </rPr>
          <t xml:space="preserve">Der er mulighed for at indsætte 4 råvarer
</t>
        </r>
      </text>
    </comment>
    <comment ref="H37" authorId="0">
      <text>
        <r>
          <rPr>
            <b/>
            <sz val="8"/>
            <rFont val="Tahoma"/>
            <family val="0"/>
          </rPr>
          <t>Standardpris i produktionen, dvs. hvad det koster ifølge forkalkulationen at producere 1 stk.</t>
        </r>
        <r>
          <rPr>
            <sz val="8"/>
            <rFont val="Tahoma"/>
            <family val="0"/>
          </rPr>
          <t xml:space="preserve">
</t>
        </r>
      </text>
    </comment>
    <comment ref="C5" authorId="0">
      <text>
        <r>
          <rPr>
            <b/>
            <sz val="8"/>
            <rFont val="Tahoma"/>
            <family val="0"/>
          </rPr>
          <t>Her indsættes faktisk omsætning og der skal divideres med B5</t>
        </r>
      </text>
    </comment>
  </commentList>
</comments>
</file>

<file path=xl/comments14.xml><?xml version="1.0" encoding="utf-8"?>
<comments xmlns="http://schemas.openxmlformats.org/spreadsheetml/2006/main">
  <authors>
    <author>IT Afdelingen</author>
    <author>Roskilde Handelsskole</author>
    <author>IT afdelingen</author>
  </authors>
  <commentList>
    <comment ref="B2" authorId="0">
      <text>
        <r>
          <rPr>
            <b/>
            <sz val="8"/>
            <rFont val="Tahoma"/>
            <family val="0"/>
          </rPr>
          <t>Her indtastes årstal for regnskabsåret, de andre årstal justeres i forhold til dette</t>
        </r>
      </text>
    </comment>
    <comment ref="A4" authorId="1">
      <text>
        <r>
          <rPr>
            <b/>
            <sz val="14"/>
            <rFont val="Tahoma"/>
            <family val="2"/>
          </rPr>
          <t xml:space="preserve">Her skal du bestemme om det er en produktions eller en handelsvirksomhed.
Hvis det er en produktionsvirksomhed skriver du </t>
        </r>
        <r>
          <rPr>
            <b/>
            <i/>
            <sz val="16"/>
            <rFont val="Tahoma"/>
            <family val="2"/>
          </rPr>
          <t>Råvarer</t>
        </r>
        <r>
          <rPr>
            <b/>
            <sz val="14"/>
            <rFont val="Tahoma"/>
            <family val="2"/>
          </rPr>
          <t xml:space="preserve">.
Hvis det er en handelsvirksomhed skriver du </t>
        </r>
        <r>
          <rPr>
            <b/>
            <i/>
            <sz val="16"/>
            <rFont val="Tahoma"/>
            <family val="2"/>
          </rPr>
          <t>Vareforbrug</t>
        </r>
      </text>
    </comment>
    <comment ref="B34" authorId="2">
      <text>
        <r>
          <rPr>
            <b/>
            <sz val="8"/>
            <rFont val="Tahoma"/>
            <family val="0"/>
          </rPr>
          <t>Hvis der er en kassekredit i opgaven skal der angives et max. Hvis der ikke er angivet et max. i opgaven kan max sættes til primo saldoen.</t>
        </r>
        <r>
          <rPr>
            <sz val="8"/>
            <rFont val="Tahoma"/>
            <family val="0"/>
          </rPr>
          <t xml:space="preserve">
</t>
        </r>
      </text>
    </comment>
    <comment ref="C36" authorId="2">
      <text>
        <r>
          <rPr>
            <b/>
            <sz val="12"/>
            <rFont val="Tahoma"/>
            <family val="2"/>
          </rPr>
          <t>Her skal du bestemme om opgaven skal udarbejdes exclusiv eller inclklusiv moms.
Hvis du vil lave opgaven exclusiv moms tastes: 0</t>
        </r>
        <r>
          <rPr>
            <b/>
            <sz val="12"/>
            <rFont val="Tahoma"/>
            <family val="2"/>
          </rPr>
          <t xml:space="preserve">
Hvis du vil lave opgaven inclusiv moms tastes en momsprocent. I Danmark 25%,
tast: 25</t>
        </r>
        <r>
          <rPr>
            <sz val="12"/>
            <rFont val="Tahoma"/>
            <family val="2"/>
          </rPr>
          <t xml:space="preserve">
</t>
        </r>
      </text>
    </comment>
  </commentList>
</comments>
</file>

<file path=xl/comments15.xml><?xml version="1.0" encoding="utf-8"?>
<comments xmlns="http://schemas.openxmlformats.org/spreadsheetml/2006/main">
  <authors>
    <author>Brygger</author>
    <author>Roskilde Handelsskole</author>
    <author>IT afdelingen</author>
    <author>Per</author>
  </authors>
  <commentList>
    <comment ref="A15" authorId="0">
      <text>
        <r>
          <rPr>
            <b/>
            <sz val="8"/>
            <rFont val="Tahoma"/>
            <family val="0"/>
          </rPr>
          <t>Varelageret må ikke laves om da det danner grundlag for omsætningshastigheden på varelageret</t>
        </r>
      </text>
    </comment>
    <comment ref="A18" authorId="0">
      <text>
        <r>
          <rPr>
            <b/>
            <sz val="8"/>
            <rFont val="Tahoma"/>
            <family val="2"/>
          </rPr>
          <t xml:space="preserve">Varedebitorerne må ikke laves om da det danner grundlag for omsætningshastigheden på varedebitorer
</t>
        </r>
        <r>
          <rPr>
            <sz val="8"/>
            <rFont val="Tahoma"/>
            <family val="0"/>
          </rPr>
          <t xml:space="preserve">
</t>
        </r>
      </text>
    </comment>
    <comment ref="B24" authorId="1">
      <text>
        <r>
          <rPr>
            <b/>
            <sz val="8"/>
            <color indexed="8"/>
            <rFont val="Tahoma"/>
            <family val="2"/>
          </rPr>
          <t>Indtast ikke i felter markeret med fed</t>
        </r>
      </text>
    </comment>
    <comment ref="F15" authorId="0">
      <text>
        <r>
          <rPr>
            <b/>
            <sz val="8"/>
            <rFont val="Tahoma"/>
            <family val="0"/>
          </rPr>
          <t>Varekreditorerne må ikke laves om da det danner grundlag for omsætningshastigheden på varekreditorer og kreditdage</t>
        </r>
        <r>
          <rPr>
            <sz val="8"/>
            <rFont val="Tahoma"/>
            <family val="0"/>
          </rPr>
          <t xml:space="preserve">
</t>
        </r>
      </text>
    </comment>
    <comment ref="G22" authorId="2">
      <text>
        <r>
          <rPr>
            <b/>
            <sz val="16"/>
            <rFont val="Tahoma"/>
            <family val="2"/>
          </rPr>
          <t xml:space="preserve">Hvis der indtastes en kassekredit skal der også indtastes et max. Hvis intet max. er oplyst kan det sættes til saldoen på kassekreditten primo
</t>
        </r>
        <r>
          <rPr>
            <sz val="8"/>
            <rFont val="Tahoma"/>
            <family val="0"/>
          </rPr>
          <t xml:space="preserve">
</t>
        </r>
      </text>
    </comment>
    <comment ref="H11" authorId="2">
      <text>
        <r>
          <rPr>
            <b/>
            <sz val="14"/>
            <rFont val="Tahoma"/>
            <family val="2"/>
          </rPr>
          <t>Når der afdrages på gælden skal der tastes minus foran tallet.</t>
        </r>
      </text>
    </comment>
    <comment ref="A16" authorId="2">
      <text>
        <r>
          <rPr>
            <b/>
            <sz val="8"/>
            <rFont val="Tahoma"/>
            <family val="0"/>
          </rPr>
          <t>Tast ikke her, det er en celle til produktionen(VUF) i en produktionsvirksomhed</t>
        </r>
      </text>
    </comment>
    <comment ref="A17" authorId="2">
      <text>
        <r>
          <rPr>
            <b/>
            <sz val="8"/>
            <rFont val="Tahoma"/>
            <family val="0"/>
          </rPr>
          <t xml:space="preserve">Tast ikke her, 
det er en celle til færdigvarerlageret i en produktionsvirksomhed
</t>
        </r>
      </text>
    </comment>
    <comment ref="I6" authorId="3">
      <text>
        <r>
          <rPr>
            <b/>
            <sz val="8"/>
            <rFont val="Tahoma"/>
            <family val="0"/>
          </rPr>
          <t>Der skal ikke tastes minus foran privatforbruget</t>
        </r>
        <r>
          <rPr>
            <sz val="8"/>
            <rFont val="Tahoma"/>
            <family val="0"/>
          </rPr>
          <t xml:space="preserve">
</t>
        </r>
      </text>
    </comment>
    <comment ref="F4" authorId="3">
      <text>
        <r>
          <rPr>
            <sz val="8"/>
            <rFont val="Tahoma"/>
            <family val="0"/>
          </rPr>
          <t xml:space="preserve">Teksten ændrer sig. Hvis der tastes 0 i reserver i resultat budgettet bliver teksten til Egenkapital ellers aktiekapital.
</t>
        </r>
      </text>
    </comment>
  </commentList>
</comments>
</file>

<file path=xl/comments7.xml><?xml version="1.0" encoding="utf-8"?>
<comments xmlns="http://schemas.openxmlformats.org/spreadsheetml/2006/main">
  <authors>
    <author>Brygger</author>
    <author>IT afdelingen</author>
  </authors>
  <commentList>
    <comment ref="A381" authorId="0">
      <text>
        <r>
          <rPr>
            <b/>
            <sz val="8"/>
            <rFont val="Tahoma"/>
            <family val="0"/>
          </rPr>
          <t>Marker de 2 rækker 59 og 380,
højre klik på musen,
vælg vis. 
Lånet får dermed 360 terminer. 
(30 år af 12 terminer)</t>
        </r>
      </text>
    </comment>
    <comment ref="D3" authorId="1">
      <text>
        <r>
          <rPr>
            <b/>
            <sz val="14"/>
            <rFont val="Tahoma"/>
            <family val="2"/>
          </rPr>
          <t xml:space="preserve">Hvis lånet er et obligationslån er det typisk at kursen er under 100 når lånet optagets. Indtastningen kan være
f.eks. 90 eller 95.  Kursen angiver hvor mange % af hovedstolen låntager får udbetalt.
</t>
        </r>
        <r>
          <rPr>
            <sz val="14"/>
            <rFont val="Tahoma"/>
            <family val="2"/>
          </rPr>
          <t xml:space="preserve">
</t>
        </r>
      </text>
    </comment>
    <comment ref="D10" authorId="1">
      <text>
        <r>
          <rPr>
            <sz val="14"/>
            <rFont val="Tahoma"/>
            <family val="2"/>
          </rPr>
          <t xml:space="preserve">Nominel rente pr. termin er, nominel rente pr. år divideret med terminer pr år. 
F.eks hvis renten er 10% med 2 terminer pr. år 
er det 5% (10%/2) pr. halvår.
Excel udregner selv de 5%.
</t>
        </r>
      </text>
    </comment>
    <comment ref="D9" authorId="1">
      <text>
        <r>
          <rPr>
            <sz val="14"/>
            <rFont val="Tahoma"/>
            <family val="2"/>
          </rPr>
          <t>Hvis lånet er 10 årigt med halvårlige terminer udregner excel selv at der skal stå 10*2= 20 i dette felt (20 terminer á et ½ år)</t>
        </r>
      </text>
    </comment>
    <comment ref="D2" authorId="1">
      <text>
        <r>
          <rPr>
            <b/>
            <sz val="16"/>
            <rFont val="Tahoma"/>
            <family val="2"/>
          </rPr>
          <t>Der må kun tastes i de farvede celler. Indtast hovedstolen her</t>
        </r>
      </text>
    </comment>
    <comment ref="D5" authorId="1">
      <text>
        <r>
          <rPr>
            <b/>
            <sz val="14"/>
            <rFont val="Tahoma"/>
            <family val="2"/>
          </rPr>
          <t>Dette tal kaldes for nettoprovenuet og er de penge som låntager får udbetalt</t>
        </r>
        <r>
          <rPr>
            <b/>
            <sz val="8"/>
            <rFont val="Tahoma"/>
            <family val="0"/>
          </rPr>
          <t xml:space="preserve">
</t>
        </r>
      </text>
    </comment>
    <comment ref="D4" authorId="1">
      <text>
        <r>
          <rPr>
            <b/>
            <sz val="14"/>
            <rFont val="Tahoma"/>
            <family val="2"/>
          </rPr>
          <t xml:space="preserve">De fleste lån har stiftelsesomkostninger / etableringsomkostninger når lånet skal optages. For et lån på 1.000.000 kan det f.eks. være kr. 10.000.
</t>
        </r>
      </text>
    </comment>
    <comment ref="D8" authorId="1">
      <text>
        <r>
          <rPr>
            <b/>
            <sz val="14"/>
            <rFont val="Tahoma"/>
            <family val="2"/>
          </rPr>
          <t>Hvis lånet har årlige ydelser tastes 1
Hvis der er halv årlige ydelser tastes 2 
Hvis der er kvartårlige ydelser tastes 4
Hvis der er måndelige ydelser tastes 12</t>
        </r>
        <r>
          <rPr>
            <sz val="14"/>
            <rFont val="Tahoma"/>
            <family val="2"/>
          </rPr>
          <t xml:space="preserve">
</t>
        </r>
      </text>
    </comment>
    <comment ref="D12" authorId="1">
      <text>
        <r>
          <rPr>
            <b/>
            <sz val="14"/>
            <rFont val="Tahoma"/>
            <family val="2"/>
          </rPr>
          <t xml:space="preserve">Normalt er der ikke noget gebyr i opgaverne,
derfor skal der normalt stå 0
</t>
        </r>
      </text>
    </comment>
    <comment ref="D16" authorId="1">
      <text>
        <r>
          <rPr>
            <b/>
            <sz val="14"/>
            <rFont val="Tahoma"/>
            <family val="2"/>
          </rPr>
          <t>Husk den effektive rente er den rigtige rente som låntager betaler for lånet. 
Ved forbruger køb skal den effektive rente oplyses. Den benævnes som ÅOP (Årlige Omkostninger i Procent).</t>
        </r>
      </text>
    </comment>
  </commentList>
</comments>
</file>

<file path=xl/comments9.xml><?xml version="1.0" encoding="utf-8"?>
<comments xmlns="http://schemas.openxmlformats.org/spreadsheetml/2006/main">
  <authors>
    <author>Jesper Brygger</author>
    <author>Brygger</author>
    <author>IT afdelingen</author>
  </authors>
  <commentList>
    <comment ref="D2" authorId="0">
      <text>
        <r>
          <rPr>
            <b/>
            <sz val="14"/>
            <rFont val="Tahoma"/>
            <family val="2"/>
          </rPr>
          <t>Indtast den nominelle størrelsen på lånet. Det beløb som står i lånedokumentet, ikke beløbet som man får udbetalt. Hvis der ikke er opgivet et beløb i opgaven skrives blot 1 kr.</t>
        </r>
        <r>
          <rPr>
            <sz val="8"/>
            <rFont val="Tahoma"/>
            <family val="0"/>
          </rPr>
          <t xml:space="preserve">
</t>
        </r>
      </text>
    </comment>
    <comment ref="D4" authorId="0">
      <text>
        <r>
          <rPr>
            <b/>
            <sz val="14"/>
            <rFont val="Tahoma"/>
            <family val="2"/>
          </rPr>
          <t>Kursen som lånet udbetales til i tid 0.
Indtastes f.eks. som: 98 eller 95 osv.
Nogle lån udbetales til kurs 100, f.eks. Banklån, men så er der normalt låneomkostninger ved optagelsen af lånet.</t>
        </r>
      </text>
    </comment>
    <comment ref="D10" authorId="0">
      <text>
        <r>
          <rPr>
            <b/>
            <sz val="14"/>
            <rFont val="Tahoma"/>
            <family val="2"/>
          </rPr>
          <t xml:space="preserve">N på lommeregneren
Antal gange som der 
betales ydelse 
(rente og afdrag)
Amortisationstabellen kan max. indeholde 360 terminer 
(30 årigt lån med 12 terminer)
</t>
        </r>
        <r>
          <rPr>
            <sz val="8"/>
            <rFont val="Tahoma"/>
            <family val="0"/>
          </rPr>
          <t xml:space="preserve">
</t>
        </r>
      </text>
    </comment>
    <comment ref="D5" authorId="0">
      <text>
        <r>
          <rPr>
            <b/>
            <sz val="14"/>
            <rFont val="Tahoma"/>
            <family val="2"/>
          </rPr>
          <t>Der skal ikke tastes minus foran tallet.</t>
        </r>
        <r>
          <rPr>
            <sz val="14"/>
            <rFont val="Tahoma"/>
            <family val="2"/>
          </rPr>
          <t xml:space="preserve">
</t>
        </r>
      </text>
    </comment>
    <comment ref="A381" authorId="1">
      <text>
        <r>
          <rPr>
            <b/>
            <sz val="8"/>
            <rFont val="Tahoma"/>
            <family val="0"/>
          </rPr>
          <t>Marker de 2 rækker 60 og 380,
højre klik på musen,
vælg vis. 
Lånet får dermed 360 terminer. 
(30 år af 12 terminer)</t>
        </r>
        <r>
          <rPr>
            <sz val="8"/>
            <rFont val="Tahoma"/>
            <family val="0"/>
          </rPr>
          <t xml:space="preserve">
</t>
        </r>
      </text>
    </comment>
    <comment ref="D7" authorId="2">
      <text>
        <r>
          <rPr>
            <b/>
            <sz val="14"/>
            <rFont val="Tahoma"/>
            <family val="2"/>
          </rPr>
          <t xml:space="preserve">Renten på lånet er normalt opgivet som en % pr. år
</t>
        </r>
      </text>
    </comment>
    <comment ref="D8" authorId="2">
      <text>
        <r>
          <rPr>
            <b/>
            <sz val="14"/>
            <rFont val="Tahoma"/>
            <family val="2"/>
          </rPr>
          <t>Indtast antal år</t>
        </r>
      </text>
    </comment>
    <comment ref="D9" authorId="2">
      <text>
        <r>
          <rPr>
            <b/>
            <sz val="14"/>
            <rFont val="Tahoma"/>
            <family val="2"/>
          </rPr>
          <t xml:space="preserve">Hvis lånet har årlige ydelser tastes 1
Hvis der er halv årlige ydelser tastes 2 
Hvis der er kvartårlige ydelser tastes 4
Hvis der er måndelige ydelser tastes 12
</t>
        </r>
      </text>
    </comment>
    <comment ref="D11" authorId="2">
      <text>
        <r>
          <rPr>
            <b/>
            <sz val="14"/>
            <rFont val="Tahoma"/>
            <family val="2"/>
          </rPr>
          <t>Nominel rente pr. termin er, nominel rente pr. år divideret med terminer pr år. 
F.eks hvis renten er 10% med 2 terminer pr. år 
er det 5% (10%/2) pr. halvår.
Excel udregner selv de 5%.</t>
        </r>
      </text>
    </comment>
  </commentList>
</comments>
</file>

<file path=xl/sharedStrings.xml><?xml version="1.0" encoding="utf-8"?>
<sst xmlns="http://schemas.openxmlformats.org/spreadsheetml/2006/main" count="622" uniqueCount="367">
  <si>
    <t>Primo</t>
  </si>
  <si>
    <t>Ultimo</t>
  </si>
  <si>
    <t>Varedebitorer</t>
  </si>
  <si>
    <t>Varekreditorer</t>
  </si>
  <si>
    <t>Driftens likviditetsvirkning</t>
  </si>
  <si>
    <t>Finansielle indbetalinger:</t>
  </si>
  <si>
    <t>Renteindtægter</t>
  </si>
  <si>
    <t>Finansielle udbetalinger:</t>
  </si>
  <si>
    <t>Renteomkostninger</t>
  </si>
  <si>
    <t>Skat</t>
  </si>
  <si>
    <t>Periodens Likviditetsforskydning</t>
  </si>
  <si>
    <t>Likvide beholdninger Ultimo</t>
  </si>
  <si>
    <t>Likvide beholdninger Primo:</t>
  </si>
  <si>
    <t>Kassekredit max.</t>
  </si>
  <si>
    <t xml:space="preserve">Likviditetsbudget </t>
  </si>
  <si>
    <t>Ændringer i omsætningsaktiver:</t>
  </si>
  <si>
    <t>Anlægsinvesteringer:</t>
  </si>
  <si>
    <t>Køb af anlægsaktiver</t>
  </si>
  <si>
    <t>Indtjeningsbidrag</t>
  </si>
  <si>
    <t>Ændringer i kortfristet gæld:</t>
  </si>
  <si>
    <t>Anden gæld</t>
  </si>
  <si>
    <t>Træk på kassekredit</t>
  </si>
  <si>
    <t>-</t>
  </si>
  <si>
    <t>Ændring</t>
  </si>
  <si>
    <t>likvide beholdninger</t>
  </si>
  <si>
    <t>Omsætning</t>
  </si>
  <si>
    <t>Bruttofortjeneste</t>
  </si>
  <si>
    <t>Salgsprovision</t>
  </si>
  <si>
    <t>Dækningsbidrag</t>
  </si>
  <si>
    <t>Salgsfremmende omk.</t>
  </si>
  <si>
    <t>Kontantekapacitets omk.</t>
  </si>
  <si>
    <t>Lokale omk.</t>
  </si>
  <si>
    <t>Gager</t>
  </si>
  <si>
    <t>Øvrige omk.</t>
  </si>
  <si>
    <t>Markedsføringsbidrag</t>
  </si>
  <si>
    <t>Afskrivninger</t>
  </si>
  <si>
    <t>Resultat før renter</t>
  </si>
  <si>
    <t>Resultat før skat</t>
  </si>
  <si>
    <t>Ekstraordinære omk.</t>
  </si>
  <si>
    <t>Resultat</t>
  </si>
  <si>
    <t>Ændring pris</t>
  </si>
  <si>
    <t>Ændring mængde</t>
  </si>
  <si>
    <t>Resultat før eks. omk.</t>
  </si>
  <si>
    <t>Aktiver:</t>
  </si>
  <si>
    <t>Anlægsaktiver</t>
  </si>
  <si>
    <t>køb</t>
  </si>
  <si>
    <t>Afskrivning</t>
  </si>
  <si>
    <t>Passiver:</t>
  </si>
  <si>
    <t>Grunde &amp; bygninger</t>
  </si>
  <si>
    <t>Tekniske anlæg</t>
  </si>
  <si>
    <t>Biler</t>
  </si>
  <si>
    <t>Anlægsaktiver i alt</t>
  </si>
  <si>
    <t xml:space="preserve">Omsætningsaktiver: </t>
  </si>
  <si>
    <t>Periodeafg.</t>
  </si>
  <si>
    <t>Værdipapirer</t>
  </si>
  <si>
    <t xml:space="preserve">Omsætningsaktiver i alt </t>
  </si>
  <si>
    <t>Aktiver i alt</t>
  </si>
  <si>
    <t>Hensættelser</t>
  </si>
  <si>
    <t>Langfristet gæld:</t>
  </si>
  <si>
    <t>Realkreditinstitutter</t>
  </si>
  <si>
    <t>Langfristet gæld i alt</t>
  </si>
  <si>
    <t>Kortfristet gæld:</t>
  </si>
  <si>
    <t>Forudbetalinger</t>
  </si>
  <si>
    <t>Udbytte</t>
  </si>
  <si>
    <t>Kortfristet gæld i alt</t>
  </si>
  <si>
    <t>Passiver i alt</t>
  </si>
  <si>
    <t>Likvide midler</t>
  </si>
  <si>
    <t>Anlægsaktiver:</t>
  </si>
  <si>
    <t>Egenkapital:</t>
  </si>
  <si>
    <t>Egenkapital ultimo</t>
  </si>
  <si>
    <t>Resultat fordeling</t>
  </si>
  <si>
    <t>Reserver</t>
  </si>
  <si>
    <t>Aktie emmision</t>
  </si>
  <si>
    <t>Omsætningshastigheder:</t>
  </si>
  <si>
    <t>Formel:</t>
  </si>
  <si>
    <t>*Varekøb  =</t>
  </si>
  <si>
    <t>Vareforbrug</t>
  </si>
  <si>
    <t>Prioritetegæld</t>
  </si>
  <si>
    <t>Øvrig kortfristet gæld</t>
  </si>
  <si>
    <t>Nyt lån til investeringer</t>
  </si>
  <si>
    <t>Andre debitorer</t>
  </si>
  <si>
    <t>Budgetteret Balance</t>
  </si>
  <si>
    <t xml:space="preserve">Beregningerne er foretaget </t>
  </si>
  <si>
    <t>20x8</t>
  </si>
  <si>
    <t>20x8 før ændring</t>
  </si>
  <si>
    <t>5.3</t>
  </si>
  <si>
    <t>Omsætning * 1,25</t>
  </si>
  <si>
    <t>VDHO</t>
  </si>
  <si>
    <t>VDOMH 360/65=</t>
  </si>
  <si>
    <t>=</t>
  </si>
  <si>
    <t xml:space="preserve">Før var debitorerne på </t>
  </si>
  <si>
    <t xml:space="preserve">En forringelse af likviditeten på </t>
  </si>
  <si>
    <t xml:space="preserve">Da debitorernes omsætningshastighed pt. er 6 har kunderne 60 dages kredit, hvis denne ændres til 65 dage bliver </t>
  </si>
  <si>
    <t xml:space="preserve">Opgave 4, 2008 </t>
  </si>
  <si>
    <t>Resultatbudget og Resultatkontrol for United Aps</t>
  </si>
  <si>
    <t>2. halvår 20x7</t>
  </si>
  <si>
    <t>Faktisk afsætning</t>
  </si>
  <si>
    <t xml:space="preserve">Faktisk pris </t>
  </si>
  <si>
    <t>Budget afsætning</t>
  </si>
  <si>
    <t>Budget pris</t>
  </si>
  <si>
    <t>Aktuelt</t>
  </si>
  <si>
    <t>Budget</t>
  </si>
  <si>
    <t>Afvigelse</t>
  </si>
  <si>
    <t>Standard omsætning</t>
  </si>
  <si>
    <t>Standard vareforbrug</t>
  </si>
  <si>
    <t>Standard bruttofortjeneste</t>
  </si>
  <si>
    <t>Standard salgsprovision</t>
  </si>
  <si>
    <t>Standard DB</t>
  </si>
  <si>
    <t>Salgsprisafvigelse:</t>
  </si>
  <si>
    <t>Faktisk oms - (faktisk afs. * budget pris)</t>
  </si>
  <si>
    <t>Indkøbsafvigelse:</t>
  </si>
  <si>
    <t>(F. køb. * B vareforbrug) - F. købsomk</t>
  </si>
  <si>
    <t>Lønsatsafvigelse</t>
  </si>
  <si>
    <t>Forbrugsafvigelse Varelager:</t>
  </si>
  <si>
    <t>Råvarelager</t>
  </si>
  <si>
    <t>Produktion</t>
  </si>
  <si>
    <t>Færdigvarerlager</t>
  </si>
  <si>
    <t>Salgsprovision afvigelse</t>
  </si>
  <si>
    <t>F. salgsp - (faktisk afs. * B. salgsprov)</t>
  </si>
  <si>
    <t>Realiseret DB</t>
  </si>
  <si>
    <t>Afvigelse Markedsførings omk.</t>
  </si>
  <si>
    <t>Afvigelse Kontante kap.</t>
  </si>
  <si>
    <t>Realiseret IB</t>
  </si>
  <si>
    <t>Standardomkostningskontrol afdeling 2:</t>
  </si>
  <si>
    <t>fra Afdeling 1</t>
  </si>
  <si>
    <t>Gamma</t>
  </si>
  <si>
    <t>Hjælpematerialer</t>
  </si>
  <si>
    <t>timer</t>
  </si>
  <si>
    <t>Samlet afvigelse i kr.</t>
  </si>
  <si>
    <t>Tilgang</t>
  </si>
  <si>
    <t>Standardforbrug</t>
  </si>
  <si>
    <t>Afvigelse i mængder idealstandard</t>
  </si>
  <si>
    <t>Forventet svind i afd 2</t>
  </si>
  <si>
    <t>Afvigelse ved normalstandard</t>
  </si>
  <si>
    <t>Standardpris</t>
  </si>
  <si>
    <t>Afvigelse i kr.</t>
  </si>
  <si>
    <t>Standardomkostningskontrol udført ifølge side 393:</t>
  </si>
  <si>
    <t>fra afdeling 1</t>
  </si>
  <si>
    <t>Hjælpe</t>
  </si>
  <si>
    <t>Arbejdstid</t>
  </si>
  <si>
    <t>Faktisk forbrug</t>
  </si>
  <si>
    <t>Halvfabrikata</t>
  </si>
  <si>
    <t>KG</t>
  </si>
  <si>
    <t>Styk</t>
  </si>
  <si>
    <t>Tilgang af råvarer</t>
  </si>
  <si>
    <t>+ubehandlede råvarer primo</t>
  </si>
  <si>
    <t>-ubehandlede råvarer ultimo</t>
  </si>
  <si>
    <t>Faktisk forbrug ialt</t>
  </si>
  <si>
    <t>Standardforbrug:</t>
  </si>
  <si>
    <t>Produktion til FVL</t>
  </si>
  <si>
    <t>Gamma = 0,80*8250</t>
  </si>
  <si>
    <t>Hjælpe = 3*8250</t>
  </si>
  <si>
    <t xml:space="preserve"> timer = 1*8250</t>
  </si>
  <si>
    <t>Ialt</t>
  </si>
  <si>
    <t>Afvigelse ved idealstandard</t>
  </si>
  <si>
    <t>Kalkuleret svind 5%</t>
  </si>
  <si>
    <t>kr.</t>
  </si>
  <si>
    <t>Standardpris og lønsats</t>
  </si>
  <si>
    <t>Afvigelse ialt</t>
  </si>
  <si>
    <t>AFS</t>
  </si>
  <si>
    <t>Salgspris</t>
  </si>
  <si>
    <t>VE</t>
  </si>
  <si>
    <t>DB stk</t>
  </si>
  <si>
    <t>DB i alt</t>
  </si>
  <si>
    <t>Maskintid</t>
  </si>
  <si>
    <t>DIFB pr.time</t>
  </si>
  <si>
    <t>Produktionstid</t>
  </si>
  <si>
    <t>STK.</t>
  </si>
  <si>
    <t>KR.</t>
  </si>
  <si>
    <t>TIMER</t>
  </si>
  <si>
    <t>Timer</t>
  </si>
  <si>
    <t>Dino 1</t>
  </si>
  <si>
    <t>Dino 2</t>
  </si>
  <si>
    <t>Dino 3</t>
  </si>
  <si>
    <t>Dino 4</t>
  </si>
  <si>
    <t>Dino 5</t>
  </si>
  <si>
    <t>Reklame Dino</t>
  </si>
  <si>
    <t>Produktionstid pr.stk</t>
  </si>
  <si>
    <t>min</t>
  </si>
  <si>
    <t>ANTAL</t>
  </si>
  <si>
    <t>Cat 3</t>
  </si>
  <si>
    <t xml:space="preserve">Omsætning </t>
  </si>
  <si>
    <t>I alt</t>
  </si>
  <si>
    <t>Cat 1</t>
  </si>
  <si>
    <t>-VO</t>
  </si>
  <si>
    <t>Cat 2</t>
  </si>
  <si>
    <t>LØNTILLÆG</t>
  </si>
  <si>
    <t>Cat 4</t>
  </si>
  <si>
    <t>DB I ALT</t>
  </si>
  <si>
    <t>Cat 5</t>
  </si>
  <si>
    <t>Salgsfremmende omk</t>
  </si>
  <si>
    <t>Total</t>
  </si>
  <si>
    <t>Indtjeningsbidrag/</t>
  </si>
  <si>
    <t>Reklame Cat</t>
  </si>
  <si>
    <t>Dino 20 min / stk = 3 stk pr.time</t>
  </si>
  <si>
    <t>Cat 18 min/stk = 3.33 pr.time</t>
  </si>
  <si>
    <t xml:space="preserve">Ledig produktionstid </t>
  </si>
  <si>
    <t>Ekstra timer</t>
  </si>
  <si>
    <t>Løntillæg</t>
  </si>
  <si>
    <t>kr</t>
  </si>
  <si>
    <t>pr.time</t>
  </si>
  <si>
    <t>1.1</t>
  </si>
  <si>
    <t xml:space="preserve">Den optimale afsætningsplan er Dino 4 &amp; Cat 3 på henholdsvis 900 &amp; 1080 timer i alt 1980 timer. Da  den ledige produktionstid er 1900 timer køber vi ekstra 80 timer </t>
  </si>
  <si>
    <t>1.2</t>
  </si>
  <si>
    <t>Pris</t>
  </si>
  <si>
    <t>Afsætning</t>
  </si>
  <si>
    <t>Indtjening</t>
  </si>
  <si>
    <t>Løntillæg 30 stk a´300 ,kr</t>
  </si>
  <si>
    <t>Indtjening V/ sp.1.1</t>
  </si>
  <si>
    <t>Merindtjening ved investering af ny maskine</t>
  </si>
  <si>
    <t>Sp. 1.1</t>
  </si>
  <si>
    <t>Antal</t>
  </si>
  <si>
    <t>VO</t>
  </si>
  <si>
    <t>Salgsfr.omk.</t>
  </si>
  <si>
    <t>Indtj.</t>
  </si>
  <si>
    <t>Maskintimer</t>
  </si>
  <si>
    <t>DIFB/time</t>
  </si>
  <si>
    <t>Prioritet</t>
  </si>
  <si>
    <t>Antal timer</t>
  </si>
  <si>
    <t>Indtjening/MFB</t>
  </si>
  <si>
    <t>Løntillæg 80 stk. a' kr. 300,-</t>
  </si>
  <si>
    <t>Indtjeningsbidrag/Markedsføringsbidrag</t>
  </si>
  <si>
    <t>Sp.1.2</t>
  </si>
  <si>
    <t xml:space="preserve"> </t>
  </si>
  <si>
    <t>Løntillæg 30 stk. a' 300,-</t>
  </si>
  <si>
    <t>Indtjening v/ sp.1.1</t>
  </si>
  <si>
    <t>Merindtjening ved investering af ny mask.</t>
  </si>
  <si>
    <t>Opgave 2</t>
  </si>
  <si>
    <t>Tex-1</t>
  </si>
  <si>
    <t>Oms</t>
  </si>
  <si>
    <t>DB</t>
  </si>
  <si>
    <t>Vedligehold</t>
  </si>
  <si>
    <t>Net cash flow</t>
  </si>
  <si>
    <t>år</t>
  </si>
  <si>
    <t>rente</t>
  </si>
  <si>
    <t>Tid / År</t>
  </si>
  <si>
    <t>Indbetalinger</t>
  </si>
  <si>
    <t>Udbetalinger</t>
  </si>
  <si>
    <t>Net Cash-Flow</t>
  </si>
  <si>
    <t>NPV, nutidsværdimetoden, kapitalværdimetoden</t>
  </si>
  <si>
    <t>Annuitetsmetoden (Det årlige resultat)/PMT</t>
  </si>
  <si>
    <t>2.1</t>
  </si>
  <si>
    <t>Den interne rente (IRR)</t>
  </si>
  <si>
    <t>Tilbagebetalingstiden i år (pay -back)</t>
  </si>
  <si>
    <t>nutidsværdi</t>
  </si>
  <si>
    <t>omregnet til en annuitet</t>
  </si>
  <si>
    <t>Kommentarer:</t>
  </si>
  <si>
    <t>Investeringen er lønsom</t>
  </si>
  <si>
    <t>Tex-2</t>
  </si>
  <si>
    <t>2.2</t>
  </si>
  <si>
    <t>Differensinvesteringen mellem Tex-1 og Tex-2</t>
  </si>
  <si>
    <t>Vi bør foretage investeringen i Tex-1. Mer-investeringen /differensinvesteringen giver en negativ NPV værdi og den interne rente er 7,40, vi vil derfor ikke foretage Mer-investeringen. Vi vælger Tex-1 frem for Tex-2.</t>
  </si>
  <si>
    <t>Kapitalværdien fra Tex-1</t>
  </si>
  <si>
    <t>-Kapitalværdien fra Tex-2</t>
  </si>
  <si>
    <t>Forskel i kapitalværdi</t>
  </si>
  <si>
    <t>(14760/0,61332)</t>
  </si>
  <si>
    <t>Scrapværdi Tex-2</t>
  </si>
  <si>
    <t>+ 1 kr.</t>
  </si>
  <si>
    <t>Scrapværdi Tex -1</t>
  </si>
  <si>
    <t xml:space="preserve"> mer-scrapværdi Tex-2</t>
  </si>
  <si>
    <t>Min-scrapværdi tex-2</t>
  </si>
  <si>
    <t>3.1</t>
  </si>
  <si>
    <t>3.2</t>
  </si>
  <si>
    <r>
      <t xml:space="preserve">Stående lån </t>
    </r>
    <r>
      <rPr>
        <sz val="10"/>
        <rFont val="Arial"/>
        <family val="0"/>
      </rPr>
      <t>1.020.000 kr,</t>
    </r>
  </si>
  <si>
    <t xml:space="preserve">rente 6,5 % , kurs 96,5 </t>
  </si>
  <si>
    <t>Serielån bør vælges da det har den laveste effektive rente</t>
  </si>
  <si>
    <t>låneperiode 4 år med helårlige terminsbetalinger</t>
  </si>
  <si>
    <t>Stiftelses omkostninger 10.000 kr.</t>
  </si>
  <si>
    <t>3.3</t>
  </si>
  <si>
    <t>Låneprovenuet =</t>
  </si>
  <si>
    <t>Stiftelses onkostningerne påvirker såden effektive rente bliver højere.</t>
  </si>
  <si>
    <t xml:space="preserve">1.020.000 kr -10.000 kr = 1.010.000 a kurs 96,5= </t>
  </si>
  <si>
    <t>Årlig ydelse : 6,5% af 1.010.000=</t>
  </si>
  <si>
    <t>65.650 kr  ( rentebeløb pr.termin)</t>
  </si>
  <si>
    <t>Værdier</t>
  </si>
  <si>
    <t>N</t>
  </si>
  <si>
    <t>I%</t>
  </si>
  <si>
    <t>PV</t>
  </si>
  <si>
    <t>PMT</t>
  </si>
  <si>
    <t>FV</t>
  </si>
  <si>
    <t>Stående låns effektive rente er 7,19%</t>
  </si>
  <si>
    <t xml:space="preserve">rente 6 % , kurs 97,5 </t>
  </si>
  <si>
    <t>1.010.000 - kr.10.000 = 1.000.000 a kurs 97,5 =</t>
  </si>
  <si>
    <t>antal terminer, f.eks år</t>
  </si>
  <si>
    <t>renten</t>
  </si>
  <si>
    <t>Present value, nutidsværdi</t>
  </si>
  <si>
    <t>Betaling pr. termin, ydelsen</t>
  </si>
  <si>
    <t>Future value</t>
  </si>
  <si>
    <t>Terminsydelse er 288.591,49 kr</t>
  </si>
  <si>
    <t>Lånets effektive rente er 7,11 %</t>
  </si>
  <si>
    <t>rente 6,5 % , kurs 98,00</t>
  </si>
  <si>
    <t>Stiftelses omkostninger 15.000 kr.</t>
  </si>
  <si>
    <t>1.015.000 - kr.15.000 = 995.000 a kurs 98,00 =</t>
  </si>
  <si>
    <t>Årligt afdrag : 995.100 / 4 år = 243.775 kr</t>
  </si>
  <si>
    <t>Effektiv rente</t>
  </si>
  <si>
    <t xml:space="preserve">År </t>
  </si>
  <si>
    <t>Restgæld</t>
  </si>
  <si>
    <t>Rente ( 6,5 %)</t>
  </si>
  <si>
    <t>Afdrag</t>
  </si>
  <si>
    <t>Ydelse</t>
  </si>
  <si>
    <t>Serielånets effektive rente er 5,82 %</t>
  </si>
  <si>
    <r>
      <t>Diskonteringsfaktoren Rentetabel 2  (1+r)</t>
    </r>
    <r>
      <rPr>
        <b/>
        <vertAlign val="superscript"/>
        <sz val="12"/>
        <rFont val="Arial"/>
        <family val="2"/>
      </rPr>
      <t>-n</t>
    </r>
  </si>
  <si>
    <r>
      <t xml:space="preserve">Nutidsværdi </t>
    </r>
    <r>
      <rPr>
        <b/>
        <vertAlign val="superscript"/>
        <sz val="12"/>
        <rFont val="Arial"/>
        <family val="2"/>
      </rPr>
      <t xml:space="preserve"> Diskonteringsfaktoren * Net cash-flow</t>
    </r>
  </si>
  <si>
    <r>
      <t>Diskonteringsfaktoren   (1+r)</t>
    </r>
    <r>
      <rPr>
        <b/>
        <vertAlign val="superscript"/>
        <sz val="12"/>
        <rFont val="Arial"/>
        <family val="2"/>
      </rPr>
      <t xml:space="preserve">-n </t>
    </r>
    <r>
      <rPr>
        <b/>
        <sz val="12"/>
        <rFont val="Arial"/>
        <family val="2"/>
      </rPr>
      <t>ved IRR</t>
    </r>
  </si>
  <si>
    <r>
      <t>NPV omregnet til en  annuitet = ((1+r)</t>
    </r>
    <r>
      <rPr>
        <b/>
        <vertAlign val="superscript"/>
        <sz val="12"/>
        <rFont val="Arial"/>
        <family val="2"/>
      </rPr>
      <t xml:space="preserve">n </t>
    </r>
    <r>
      <rPr>
        <b/>
        <sz val="12"/>
        <rFont val="Arial"/>
        <family val="2"/>
      </rPr>
      <t>*r) / ((1+r)</t>
    </r>
    <r>
      <rPr>
        <b/>
        <vertAlign val="superscript"/>
        <sz val="12"/>
        <rFont val="Arial"/>
        <family val="2"/>
      </rPr>
      <t>n</t>
    </r>
    <r>
      <rPr>
        <b/>
        <sz val="12"/>
        <rFont val="Arial"/>
        <family val="2"/>
      </rPr>
      <t>-1)</t>
    </r>
  </si>
  <si>
    <r>
      <rPr>
        <b/>
        <sz val="11"/>
        <color indexed="8"/>
        <rFont val="Calibri"/>
        <family val="2"/>
      </rPr>
      <t>Annuitetslån</t>
    </r>
    <r>
      <rPr>
        <sz val="10"/>
        <rFont val="Arial"/>
        <family val="0"/>
      </rPr>
      <t xml:space="preserve"> 1.010.000 kr</t>
    </r>
  </si>
  <si>
    <r>
      <rPr>
        <b/>
        <sz val="11"/>
        <color indexed="8"/>
        <rFont val="Calibri"/>
        <family val="2"/>
      </rPr>
      <t xml:space="preserve">Serielån </t>
    </r>
    <r>
      <rPr>
        <sz val="10"/>
        <rFont val="Arial"/>
        <family val="0"/>
      </rPr>
      <t>1010.000 kr.</t>
    </r>
  </si>
  <si>
    <t>Beregning af effektiv rente på annuitetslån:</t>
  </si>
  <si>
    <t>Lånets størrelse, Hovedstol</t>
  </si>
  <si>
    <t>Kurs</t>
  </si>
  <si>
    <t>Evt. omk.ved låneoptagelse</t>
  </si>
  <si>
    <t>Til udbetaling / nettoprovenuet</t>
  </si>
  <si>
    <t>Nominel rente pr. år</t>
  </si>
  <si>
    <t>Antal år</t>
  </si>
  <si>
    <t>Terminer pr. år</t>
  </si>
  <si>
    <t>Antal terminer i alt</t>
  </si>
  <si>
    <t>Nominel rente pr. termin</t>
  </si>
  <si>
    <t>Ydelse (rente og afdrag)</t>
  </si>
  <si>
    <t>(Beregning: se note til annuitetslån)</t>
  </si>
  <si>
    <t>Gebyr pr. termin</t>
  </si>
  <si>
    <t xml:space="preserve">Årlig effektiv rente </t>
  </si>
  <si>
    <t>Termin</t>
  </si>
  <si>
    <t>Restgæld primo</t>
  </si>
  <si>
    <t>Ydelse incl. gebyr</t>
  </si>
  <si>
    <t xml:space="preserve">Ydelse </t>
  </si>
  <si>
    <t>Rente</t>
  </si>
  <si>
    <t>Restgæld ultimo</t>
  </si>
  <si>
    <t>Først beregnes ydelsen (b) udfra hovedstolen:</t>
  </si>
  <si>
    <t xml:space="preserve">Hovedstolen </t>
  </si>
  <si>
    <t>1-(1+ r)</t>
  </si>
  <si>
    <t>-n</t>
  </si>
  <si>
    <t>*</t>
  </si>
  <si>
    <t>b</t>
  </si>
  <si>
    <t>r</t>
  </si>
  <si>
    <t>Hovedstolen ændres til nettoprovenuet og renten beregnes:</t>
  </si>
  <si>
    <t>Nettoprovenuet</t>
  </si>
  <si>
    <t>Ved at indsætte tallene får man:</t>
  </si>
  <si>
    <t>Isolering af diskonteringsfaktoren:</t>
  </si>
  <si>
    <t>Ved at prøve sig frem kan r findes til:</t>
  </si>
  <si>
    <t>Eller udtrykt i procent:</t>
  </si>
  <si>
    <t>Beregning af effektiv rente på serielån:</t>
  </si>
  <si>
    <t xml:space="preserve">Lånets størrelse, Hovedstol </t>
  </si>
  <si>
    <t>Evt. omk ved låneoptagelse</t>
  </si>
  <si>
    <t>Antal terminer ialt</t>
  </si>
  <si>
    <t>(Beregning: se note til serielån)</t>
  </si>
  <si>
    <t>Effektiv rente pr år</t>
  </si>
  <si>
    <t>Ydelse incl. Gebyr</t>
  </si>
  <si>
    <t>Note til beregningen af den effektive rente på serielån:</t>
  </si>
  <si>
    <t>Gebyr</t>
  </si>
  <si>
    <t>(1+r)</t>
  </si>
  <si>
    <t>Eller udtrykt i %:</t>
  </si>
  <si>
    <t>Beregning af effektiv rente på stående lån:</t>
  </si>
  <si>
    <t>Nominel rente pr. pr. termin</t>
  </si>
  <si>
    <t>(Beregning: se note til stående lån)</t>
  </si>
  <si>
    <t>Ydelse incl gebyr</t>
  </si>
  <si>
    <t>total</t>
  </si>
  <si>
    <t>Først beregnes ydelsen udfra hovedstolen:</t>
  </si>
  <si>
    <t>Ydelsen (b)</t>
  </si>
  <si>
    <t>Hovedstolen * renteprocenten pr termin</t>
  </si>
  <si>
    <t xml:space="preserve">Ydelsen, nettoprovenuet og afbetalingsbeløbet indsættes i nedenstående ligning for at finde renten (r): </t>
  </si>
  <si>
    <t>+</t>
  </si>
  <si>
    <t>(</t>
  </si>
  <si>
    <t>Afbetalingsbeløbet</t>
  </si>
  <si>
    <t>)</t>
  </si>
  <si>
    <r>
      <t xml:space="preserve">Note til beregningen af den effektive rente på annuitetslån: </t>
    </r>
    <r>
      <rPr>
        <sz val="12"/>
        <rFont val="Arial"/>
        <family val="0"/>
      </rPr>
      <t xml:space="preserve">                                           Den effektive rente på et annuitetslån beregnes ved at bruge nedenstående formel. Først findes ydelsen (b). Derefter ændres hovedstolen til nettoprovenuet som sættes lig med annuitets-diskonteringsfaktoren (rentetabel 4) ganget med betalingen/ydelsen pr termin (b). Renten (r) er den ubekendte som skal findes. </t>
    </r>
  </si>
  <si>
    <r>
      <t>Note til beregning af den effektive rente på såtende lån:</t>
    </r>
    <r>
      <rPr>
        <sz val="12"/>
        <rFont val="Arial"/>
        <family val="0"/>
      </rPr>
      <t xml:space="preserve">                                                                                                                   Den effektive rente på et stående lån beregnes ved at bruge nedenstående formel. Formlen er en kombination af annuitets-diskonteringsfaktoren og den almindelige diskonteringsfaktor. Renten (r) er den ubekendte, b er ydelsen, da ydelsen på et stående lån kun består af rente er b lig med rentebetalingen pr. termin. Afbetalingsbeløbet er afdraget ved lånets udløb. </t>
    </r>
  </si>
  <si>
    <t>til 300 kr stk, i løntillæg, da prioritet 8 giver yderligere merindtægt på 345 kr i timen.</t>
  </si>
</sst>
</file>

<file path=xl/styles.xml><?xml version="1.0" encoding="utf-8"?>
<styleSheet xmlns="http://schemas.openxmlformats.org/spreadsheetml/2006/main">
  <numFmts count="55">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
    <numFmt numFmtId="165" formatCode="_(* #,##0.0_);_(* \(#,##0.0\);_(* &quot;-&quot;??_);_(@_)"/>
    <numFmt numFmtId="166" formatCode="_(* #,##0_);_(* \(#,##0\);_(* &quot;-&quot;??_);_(@_)"/>
    <numFmt numFmtId="167" formatCode="#,##0.0"/>
    <numFmt numFmtId="168" formatCode="0.0"/>
    <numFmt numFmtId="169" formatCode="0.000"/>
    <numFmt numFmtId="170" formatCode="#,##0.000_);\(#,##0.000\)"/>
    <numFmt numFmtId="171" formatCode="#,##0.0_);\(#,##0.0\)"/>
    <numFmt numFmtId="172" formatCode="#,##0.000"/>
    <numFmt numFmtId="173" formatCode="#,##0.0000"/>
    <numFmt numFmtId="174" formatCode="&quot;Ja&quot;;&quot;Ja&quot;;&quot;Nej&quot;"/>
    <numFmt numFmtId="175" formatCode="&quot;Sand&quot;;&quot;Sand&quot;;&quot;Falsk&quot;"/>
    <numFmt numFmtId="176" formatCode="&quot;Til&quot;;&quot;Til&quot;;&quot;Fra&quot;"/>
    <numFmt numFmtId="177" formatCode="[$€-2]\ #.##000_);[Red]\([$€-2]\ #.##000\)"/>
    <numFmt numFmtId="178" formatCode="0.0000000000"/>
    <numFmt numFmtId="179" formatCode="0.000000000"/>
    <numFmt numFmtId="180" formatCode="0.00000000"/>
    <numFmt numFmtId="181" formatCode="0.0000000"/>
    <numFmt numFmtId="182" formatCode="0.000000"/>
    <numFmt numFmtId="183" formatCode="0.00000"/>
    <numFmt numFmtId="184" formatCode="0.0000"/>
    <numFmt numFmtId="185" formatCode="_(* #,##0.000_);_(* \(#,##0.000\);_(* &quot;-&quot;???_);_(@_)"/>
    <numFmt numFmtId="186" formatCode="_(* #,##0.00_);_(* \(#,##0.00\);_(* &quot;-&quot;???_);_(@_)"/>
    <numFmt numFmtId="187" formatCode="_(* #,##0.0_);_(* \(#,##0.0\);_(* &quot;-&quot;???_);_(@_)"/>
    <numFmt numFmtId="188" formatCode="_(* #,##0_);_(* \(#,##0\);_(* &quot;-&quot;???_);_(@_)"/>
    <numFmt numFmtId="189" formatCode="0.0%"/>
    <numFmt numFmtId="190" formatCode="0.000%"/>
    <numFmt numFmtId="191" formatCode="0.0000%"/>
    <numFmt numFmtId="192" formatCode="0.00000%"/>
    <numFmt numFmtId="193" formatCode="0.000000%"/>
    <numFmt numFmtId="194" formatCode="#,##0.00000"/>
    <numFmt numFmtId="195" formatCode="#,##0.000000"/>
    <numFmt numFmtId="196" formatCode="#,##0.0000000"/>
    <numFmt numFmtId="197" formatCode="_(* #,##0.000_);_(* \(#,##0.000\);_(* &quot;-&quot;??_);_(@_)"/>
    <numFmt numFmtId="198" formatCode="_(* #,##0.0000_);_(* \(#,##0.0000\);_(* &quot;-&quot;??_);_(@_)"/>
    <numFmt numFmtId="199" formatCode="&quot;kr&quot;\ #,##0.0_);[Red]\(&quot;kr&quot;\ #,##0.0\)"/>
    <numFmt numFmtId="200" formatCode="&quot;kr&quot;\ #,##0.000_);[Red]\(&quot;kr&quot;\ #,##0.000\)"/>
    <numFmt numFmtId="201" formatCode="&quot;kr&quot;\ #,##0.0000_);[Red]\(&quot;kr&quot;\ #,##0.0000\)"/>
    <numFmt numFmtId="202" formatCode="_(* #,##0.0_);_(* \(#,##0.0\);_(* &quot;-&quot;?_);_(@_)"/>
    <numFmt numFmtId="203" formatCode="&quot;kr&quot;\ #,##0;&quot;kr&quot;\ \-#,##0"/>
    <numFmt numFmtId="204" formatCode="&quot;kr&quot;\ #,##0;[Red]&quot;kr&quot;\ \-#,##0"/>
    <numFmt numFmtId="205" formatCode="&quot;kr&quot;\ #,##0.00;&quot;kr&quot;\ \-#,##0.00"/>
    <numFmt numFmtId="206" formatCode="&quot;kr&quot;\ #,##0.00;[Red]&quot;kr&quot;\ \-#,##0.00"/>
    <numFmt numFmtId="207" formatCode="_ &quot;kr&quot;\ * #,##0_ ;_ &quot;kr&quot;\ * \-#,##0_ ;_ &quot;kr&quot;\ * &quot;-&quot;_ ;_ @_ "/>
    <numFmt numFmtId="208" formatCode="_ * #,##0_ ;_ * \-#,##0_ ;_ * &quot;-&quot;_ ;_ @_ "/>
    <numFmt numFmtId="209" formatCode="_ &quot;kr&quot;\ * #,##0.00_ ;_ &quot;kr&quot;\ * \-#,##0.00_ ;_ &quot;kr&quot;\ * &quot;-&quot;??_ ;_ @_ "/>
    <numFmt numFmtId="210" formatCode="_ * #,##0.00_ ;_ * \-#,##0.00_ ;_ * &quot;-&quot;??_ ;_ @_ "/>
  </numFmts>
  <fonts count="53">
    <font>
      <sz val="10"/>
      <name val="Arial"/>
      <family val="0"/>
    </font>
    <font>
      <b/>
      <sz val="14"/>
      <name val="Arial"/>
      <family val="2"/>
    </font>
    <font>
      <sz val="14"/>
      <name val="Arial"/>
      <family val="2"/>
    </font>
    <font>
      <b/>
      <sz val="10"/>
      <name val="Arial"/>
      <family val="2"/>
    </font>
    <font>
      <b/>
      <sz val="8"/>
      <name val="Tahoma"/>
      <family val="0"/>
    </font>
    <font>
      <sz val="18"/>
      <name val="Arial"/>
      <family val="2"/>
    </font>
    <font>
      <sz val="8"/>
      <name val="Tahoma"/>
      <family val="0"/>
    </font>
    <font>
      <b/>
      <sz val="8"/>
      <color indexed="8"/>
      <name val="Tahoma"/>
      <family val="2"/>
    </font>
    <font>
      <b/>
      <sz val="14"/>
      <name val="Tahoma"/>
      <family val="2"/>
    </font>
    <font>
      <b/>
      <i/>
      <sz val="16"/>
      <name val="Tahoma"/>
      <family val="2"/>
    </font>
    <font>
      <u val="single"/>
      <sz val="10"/>
      <color indexed="12"/>
      <name val="Arial"/>
      <family val="0"/>
    </font>
    <font>
      <u val="single"/>
      <sz val="10"/>
      <color indexed="36"/>
      <name val="Arial"/>
      <family val="0"/>
    </font>
    <font>
      <b/>
      <sz val="18"/>
      <name val="Arial"/>
      <family val="2"/>
    </font>
    <font>
      <b/>
      <sz val="16"/>
      <name val="Tahoma"/>
      <family val="2"/>
    </font>
    <font>
      <b/>
      <sz val="12"/>
      <name val="Tahoma"/>
      <family val="2"/>
    </font>
    <font>
      <sz val="12"/>
      <name val="Tahoma"/>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name val="Arial"/>
      <family val="2"/>
    </font>
    <font>
      <b/>
      <sz val="12"/>
      <name val="Arial"/>
      <family val="2"/>
    </font>
    <font>
      <sz val="12"/>
      <name val="Arial"/>
      <family val="2"/>
    </font>
    <font>
      <b/>
      <vertAlign val="superscript"/>
      <sz val="12"/>
      <name val="Arial"/>
      <family val="2"/>
    </font>
    <font>
      <sz val="14"/>
      <color indexed="13"/>
      <name val="Arial"/>
      <family val="2"/>
    </font>
    <font>
      <b/>
      <sz val="20"/>
      <name val="Arial"/>
      <family val="2"/>
    </font>
    <font>
      <sz val="14"/>
      <name val="Tahoma"/>
      <family val="2"/>
    </font>
    <font>
      <sz val="16"/>
      <name val="Arial"/>
      <family val="2"/>
    </font>
    <font>
      <sz val="22"/>
      <name val="Arial"/>
      <family val="2"/>
    </font>
    <font>
      <vertAlign val="superscript"/>
      <sz val="16"/>
      <name val="Arial"/>
      <family val="0"/>
    </font>
    <font>
      <b/>
      <sz val="22"/>
      <name val="Arial"/>
      <family val="2"/>
    </font>
    <font>
      <b/>
      <sz val="16"/>
      <name val="Arial"/>
      <family val="2"/>
    </font>
    <font>
      <vertAlign val="superscript"/>
      <sz val="14"/>
      <name val="Arial"/>
      <family val="0"/>
    </font>
    <font>
      <vertAlign val="subscript"/>
      <sz val="14"/>
      <name val="Arial"/>
      <family val="2"/>
    </font>
    <font>
      <vertAlign val="subscript"/>
      <sz val="18"/>
      <name val="Arial"/>
      <family val="0"/>
    </font>
    <font>
      <vertAlign val="superscript"/>
      <sz val="10"/>
      <name val="Arial"/>
      <family val="0"/>
    </font>
    <font>
      <sz val="36"/>
      <name val="Arial"/>
      <family val="0"/>
    </font>
    <font>
      <vertAlign val="superscript"/>
      <sz val="20"/>
      <name val="Arial"/>
      <family val="0"/>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6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style="double"/>
    </border>
    <border>
      <left style="medium"/>
      <right>
        <color indexed="63"/>
      </right>
      <top>
        <color indexed="63"/>
      </top>
      <bottom>
        <color indexed="63"/>
      </bottom>
    </border>
    <border>
      <left style="medium"/>
      <right>
        <color indexed="63"/>
      </right>
      <top style="thin"/>
      <bottom style="thin"/>
    </border>
    <border>
      <left style="thin"/>
      <right style="thin"/>
      <top style="thin"/>
      <bottom style="thin"/>
    </border>
    <border>
      <left style="medium"/>
      <right>
        <color indexed="63"/>
      </right>
      <top style="thin"/>
      <bottom style="double"/>
    </border>
    <border>
      <left style="medium"/>
      <right>
        <color indexed="63"/>
      </right>
      <top style="medium"/>
      <bottom style="thin"/>
    </border>
    <border>
      <left style="thin"/>
      <right style="thin"/>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medium"/>
      <top>
        <color indexed="63"/>
      </top>
      <bottom>
        <color indexed="63"/>
      </bottom>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style="thin"/>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medium"/>
      <top style="thin"/>
      <bottom style="double"/>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right/>
      <top style="thin"/>
      <bottom style="thin"/>
    </border>
    <border>
      <left/>
      <right/>
      <top style="thin"/>
      <bottom/>
    </border>
    <border>
      <left/>
      <right/>
      <top style="thin"/>
      <bottom style="medium"/>
    </border>
    <border>
      <left style="medium"/>
      <right style="medium"/>
      <top>
        <color indexed="63"/>
      </top>
      <bottom style="medium"/>
    </border>
    <border>
      <left style="medium"/>
      <right/>
      <top style="medium"/>
      <bottom/>
    </border>
    <border>
      <left>
        <color indexed="63"/>
      </left>
      <right>
        <color indexed="63"/>
      </right>
      <top>
        <color indexed="63"/>
      </top>
      <bottom style="double"/>
    </border>
    <border>
      <left>
        <color indexed="63"/>
      </left>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style="thin"/>
      <top style="thin"/>
      <bottom style="double"/>
    </border>
    <border>
      <left>
        <color indexed="63"/>
      </left>
      <right style="thin"/>
      <top>
        <color indexed="63"/>
      </top>
      <bottom>
        <color indexed="63"/>
      </bottom>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3" fillId="0" borderId="0" applyNumberFormat="0" applyFill="0" applyBorder="0" applyAlignment="0" applyProtection="0"/>
    <xf numFmtId="0" fontId="19" fillId="3" borderId="0" applyNumberFormat="0" applyBorder="0" applyAlignment="0" applyProtection="0"/>
    <xf numFmtId="0" fontId="0" fillId="20" borderId="1" applyNumberFormat="0" applyFont="0" applyAlignment="0" applyProtection="0"/>
    <xf numFmtId="0" fontId="20" fillId="21" borderId="2" applyNumberFormat="0" applyAlignment="0" applyProtection="0"/>
    <xf numFmtId="0" fontId="20" fillId="21" borderId="2" applyNumberFormat="0" applyAlignment="0" applyProtection="0"/>
    <xf numFmtId="0" fontId="21" fillId="2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xf numFmtId="0" fontId="27" fillId="7" borderId="2" applyNumberFormat="0" applyAlignment="0" applyProtection="0"/>
    <xf numFmtId="0" fontId="21" fillId="22" borderId="3" applyNumberFormat="0" applyAlignment="0" applyProtection="0"/>
    <xf numFmtId="0" fontId="28" fillId="0" borderId="7" applyNumberFormat="0" applyFill="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9" fillId="23" borderId="0" applyNumberFormat="0" applyBorder="0" applyAlignment="0" applyProtection="0"/>
    <xf numFmtId="0" fontId="17" fillId="0" borderId="0">
      <alignment/>
      <protection/>
    </xf>
    <xf numFmtId="0" fontId="17" fillId="20" borderId="1" applyNumberFormat="0" applyFont="0" applyAlignment="0" applyProtection="0"/>
    <xf numFmtId="0" fontId="30" fillId="21" borderId="8" applyNumberFormat="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7"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19" fillId="3" borderId="0" applyNumberFormat="0" applyBorder="0" applyAlignment="0" applyProtection="0"/>
    <xf numFmtId="0" fontId="33" fillId="0" borderId="0" applyNumberFormat="0" applyFill="0" applyBorder="0" applyAlignment="0" applyProtection="0"/>
  </cellStyleXfs>
  <cellXfs count="547">
    <xf numFmtId="0" fontId="0" fillId="0" borderId="0" xfId="0" applyAlignment="1">
      <alignment/>
    </xf>
    <xf numFmtId="0" fontId="1" fillId="0" borderId="0" xfId="0" applyFont="1" applyAlignment="1">
      <alignment/>
    </xf>
    <xf numFmtId="3" fontId="1" fillId="0" borderId="0" xfId="63" applyNumberFormat="1" applyFont="1" applyAlignment="1">
      <alignment/>
    </xf>
    <xf numFmtId="0" fontId="2" fillId="0" borderId="0" xfId="0" applyFont="1" applyAlignment="1">
      <alignment/>
    </xf>
    <xf numFmtId="3" fontId="2" fillId="0" borderId="0" xfId="63" applyNumberFormat="1" applyFont="1" applyAlignment="1">
      <alignment/>
    </xf>
    <xf numFmtId="49" fontId="2" fillId="0" borderId="0" xfId="0" applyNumberFormat="1" applyFont="1" applyAlignment="1">
      <alignment/>
    </xf>
    <xf numFmtId="0" fontId="2" fillId="0" borderId="0" xfId="0" applyFont="1" applyAlignment="1">
      <alignment horizontal="right"/>
    </xf>
    <xf numFmtId="3" fontId="1" fillId="0" borderId="10" xfId="63" applyNumberFormat="1" applyFont="1" applyBorder="1" applyAlignment="1">
      <alignment/>
    </xf>
    <xf numFmtId="3" fontId="1" fillId="0" borderId="10" xfId="0" applyNumberFormat="1" applyFont="1" applyBorder="1" applyAlignment="1">
      <alignment/>
    </xf>
    <xf numFmtId="3" fontId="1" fillId="0" borderId="11" xfId="0" applyNumberFormat="1" applyFont="1" applyBorder="1" applyAlignment="1">
      <alignment/>
    </xf>
    <xf numFmtId="0" fontId="3" fillId="0" borderId="0" xfId="0" applyFont="1" applyAlignment="1">
      <alignment/>
    </xf>
    <xf numFmtId="0" fontId="0" fillId="24" borderId="0" xfId="0" applyFill="1" applyAlignment="1">
      <alignment/>
    </xf>
    <xf numFmtId="0" fontId="0" fillId="0" borderId="12" xfId="0" applyFill="1" applyBorder="1" applyAlignment="1">
      <alignment/>
    </xf>
    <xf numFmtId="0" fontId="3" fillId="0" borderId="13" xfId="0" applyFont="1" applyFill="1" applyBorder="1" applyAlignment="1">
      <alignment/>
    </xf>
    <xf numFmtId="166" fontId="3" fillId="0" borderId="14" xfId="63" applyNumberFormat="1"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2" xfId="0" applyFont="1" applyFill="1" applyBorder="1" applyAlignment="1">
      <alignment/>
    </xf>
    <xf numFmtId="0" fontId="0" fillId="0" borderId="12" xfId="0" applyFont="1" applyFill="1" applyBorder="1" applyAlignment="1">
      <alignment/>
    </xf>
    <xf numFmtId="166" fontId="0" fillId="24" borderId="17" xfId="63" applyNumberFormat="1" applyFill="1" applyBorder="1" applyAlignment="1">
      <alignment/>
    </xf>
    <xf numFmtId="166" fontId="0" fillId="0" borderId="18" xfId="63" applyNumberFormat="1" applyBorder="1" applyAlignment="1">
      <alignment/>
    </xf>
    <xf numFmtId="166" fontId="0" fillId="0" borderId="14" xfId="63" applyNumberFormat="1" applyBorder="1" applyAlignment="1">
      <alignment/>
    </xf>
    <xf numFmtId="0" fontId="0" fillId="0" borderId="12" xfId="0" applyBorder="1" applyAlignment="1">
      <alignment/>
    </xf>
    <xf numFmtId="166" fontId="0" fillId="0" borderId="17" xfId="63" applyNumberFormat="1" applyBorder="1" applyAlignment="1">
      <alignment/>
    </xf>
    <xf numFmtId="166" fontId="0" fillId="0" borderId="19" xfId="63" applyNumberFormat="1" applyBorder="1" applyAlignment="1">
      <alignment/>
    </xf>
    <xf numFmtId="0" fontId="0" fillId="0" borderId="10" xfId="0" applyBorder="1" applyAlignment="1">
      <alignment/>
    </xf>
    <xf numFmtId="0" fontId="0" fillId="0" borderId="16"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166" fontId="0" fillId="0" borderId="0" xfId="63" applyNumberFormat="1" applyBorder="1" applyAlignment="1">
      <alignment/>
    </xf>
    <xf numFmtId="166" fontId="0" fillId="0" borderId="10" xfId="63" applyNumberFormat="1" applyBorder="1" applyAlignment="1">
      <alignment/>
    </xf>
    <xf numFmtId="166" fontId="0" fillId="0" borderId="11" xfId="63" applyNumberFormat="1" applyBorder="1" applyAlignment="1">
      <alignment/>
    </xf>
    <xf numFmtId="2" fontId="0" fillId="0" borderId="11" xfId="0" applyNumberFormat="1" applyBorder="1" applyAlignment="1">
      <alignment/>
    </xf>
    <xf numFmtId="166" fontId="0" fillId="24" borderId="0" xfId="63" applyNumberFormat="1" applyFill="1" applyBorder="1" applyAlignment="1">
      <alignment/>
    </xf>
    <xf numFmtId="0" fontId="3" fillId="0" borderId="13" xfId="0" applyFont="1" applyBorder="1" applyAlignment="1">
      <alignment/>
    </xf>
    <xf numFmtId="0" fontId="3" fillId="0" borderId="15" xfId="0" applyFont="1" applyBorder="1" applyAlignment="1">
      <alignment/>
    </xf>
    <xf numFmtId="166" fontId="3" fillId="0" borderId="14" xfId="63" applyNumberFormat="1" applyFont="1" applyBorder="1" applyAlignment="1">
      <alignment/>
    </xf>
    <xf numFmtId="2" fontId="0" fillId="24" borderId="17" xfId="0" applyNumberFormat="1" applyFill="1" applyBorder="1" applyAlignment="1">
      <alignment/>
    </xf>
    <xf numFmtId="2" fontId="3" fillId="0" borderId="14" xfId="0" applyNumberFormat="1" applyFont="1" applyBorder="1" applyAlignment="1">
      <alignment/>
    </xf>
    <xf numFmtId="2" fontId="0" fillId="0" borderId="17" xfId="0" applyNumberFormat="1" applyBorder="1" applyAlignment="1">
      <alignment/>
    </xf>
    <xf numFmtId="2" fontId="0" fillId="0" borderId="14" xfId="0" applyNumberFormat="1" applyBorder="1" applyAlignment="1">
      <alignment/>
    </xf>
    <xf numFmtId="9" fontId="0" fillId="24" borderId="23" xfId="94" applyFill="1" applyBorder="1" applyAlignment="1">
      <alignment/>
    </xf>
    <xf numFmtId="2" fontId="0" fillId="0" borderId="24" xfId="0" applyNumberFormat="1" applyBorder="1" applyAlignment="1">
      <alignment/>
    </xf>
    <xf numFmtId="166" fontId="0" fillId="24" borderId="14" xfId="63" applyNumberFormat="1" applyFill="1" applyBorder="1" applyAlignment="1">
      <alignment/>
    </xf>
    <xf numFmtId="0" fontId="0" fillId="0" borderId="25" xfId="0" applyBorder="1" applyAlignment="1">
      <alignment/>
    </xf>
    <xf numFmtId="0" fontId="0" fillId="24" borderId="21" xfId="0" applyFill="1" applyBorder="1" applyAlignment="1">
      <alignment/>
    </xf>
    <xf numFmtId="49" fontId="0" fillId="0" borderId="21" xfId="0" applyNumberFormat="1" applyBorder="1" applyAlignment="1">
      <alignment wrapText="1"/>
    </xf>
    <xf numFmtId="0" fontId="0" fillId="0" borderId="21" xfId="0" applyBorder="1" applyAlignment="1">
      <alignment wrapText="1"/>
    </xf>
    <xf numFmtId="166" fontId="0" fillId="0" borderId="26" xfId="63" applyNumberFormat="1" applyBorder="1" applyAlignment="1">
      <alignment/>
    </xf>
    <xf numFmtId="166" fontId="3" fillId="0" borderId="27" xfId="63" applyNumberFormat="1" applyFont="1" applyBorder="1" applyAlignment="1">
      <alignment/>
    </xf>
    <xf numFmtId="166" fontId="0" fillId="0" borderId="27" xfId="63" applyNumberFormat="1" applyBorder="1" applyAlignment="1">
      <alignment/>
    </xf>
    <xf numFmtId="166" fontId="0" fillId="0" borderId="28" xfId="63" applyNumberFormat="1" applyBorder="1" applyAlignment="1">
      <alignment/>
    </xf>
    <xf numFmtId="166" fontId="0" fillId="0" borderId="29" xfId="63" applyNumberFormat="1" applyBorder="1" applyAlignment="1">
      <alignment/>
    </xf>
    <xf numFmtId="49" fontId="0" fillId="0" borderId="13" xfId="0" applyNumberFormat="1" applyBorder="1" applyAlignment="1">
      <alignment/>
    </xf>
    <xf numFmtId="0" fontId="0" fillId="0" borderId="30" xfId="0" applyBorder="1" applyAlignment="1">
      <alignment/>
    </xf>
    <xf numFmtId="166" fontId="0" fillId="0" borderId="20" xfId="63" applyNumberFormat="1" applyBorder="1" applyAlignment="1">
      <alignment/>
    </xf>
    <xf numFmtId="166" fontId="0" fillId="0" borderId="31" xfId="63" applyNumberFormat="1" applyBorder="1" applyAlignment="1">
      <alignment/>
    </xf>
    <xf numFmtId="0" fontId="0" fillId="0" borderId="12" xfId="0" applyNumberFormat="1" applyBorder="1" applyAlignment="1">
      <alignment/>
    </xf>
    <xf numFmtId="166" fontId="0" fillId="24" borderId="18" xfId="63" applyNumberFormat="1" applyFill="1" applyBorder="1" applyAlignment="1">
      <alignment/>
    </xf>
    <xf numFmtId="49" fontId="0" fillId="0" borderId="12" xfId="0" applyNumberFormat="1" applyBorder="1" applyAlignment="1">
      <alignment/>
    </xf>
    <xf numFmtId="0" fontId="3" fillId="0" borderId="32" xfId="0" applyFont="1" applyFill="1" applyBorder="1" applyAlignment="1">
      <alignment/>
    </xf>
    <xf numFmtId="166" fontId="3" fillId="0" borderId="33" xfId="63" applyNumberFormat="1" applyFont="1" applyFill="1" applyBorder="1" applyAlignment="1">
      <alignment/>
    </xf>
    <xf numFmtId="166" fontId="3" fillId="0" borderId="34" xfId="63" applyNumberFormat="1" applyFont="1" applyFill="1" applyBorder="1" applyAlignment="1">
      <alignment/>
    </xf>
    <xf numFmtId="2" fontId="0" fillId="0" borderId="17" xfId="0" applyNumberFormat="1" applyFill="1" applyBorder="1" applyAlignment="1">
      <alignment/>
    </xf>
    <xf numFmtId="0" fontId="0" fillId="24" borderId="12" xfId="0" applyFill="1" applyBorder="1" applyAlignment="1">
      <alignment/>
    </xf>
    <xf numFmtId="166" fontId="0" fillId="0" borderId="0" xfId="0" applyNumberFormat="1" applyAlignment="1">
      <alignment/>
    </xf>
    <xf numFmtId="4" fontId="0" fillId="0" borderId="0" xfId="63" applyNumberFormat="1" applyBorder="1" applyAlignment="1">
      <alignment horizontal="left"/>
    </xf>
    <xf numFmtId="43" fontId="0" fillId="0" borderId="0" xfId="0" applyNumberFormat="1" applyAlignment="1">
      <alignment/>
    </xf>
    <xf numFmtId="0" fontId="0" fillId="0" borderId="35" xfId="0" applyBorder="1" applyAlignment="1">
      <alignment/>
    </xf>
    <xf numFmtId="0" fontId="0" fillId="0" borderId="0" xfId="0" applyAlignment="1">
      <alignment horizontal="center"/>
    </xf>
    <xf numFmtId="0" fontId="2" fillId="0" borderId="0" xfId="0" applyFont="1" applyAlignment="1">
      <alignment/>
    </xf>
    <xf numFmtId="166" fontId="3" fillId="0" borderId="11" xfId="63" applyNumberFormat="1" applyFont="1" applyBorder="1" applyAlignment="1">
      <alignment/>
    </xf>
    <xf numFmtId="1" fontId="2" fillId="0" borderId="0" xfId="0" applyNumberFormat="1" applyFont="1" applyAlignment="1">
      <alignment/>
    </xf>
    <xf numFmtId="166" fontId="0" fillId="24" borderId="0" xfId="63" applyNumberFormat="1" applyFill="1" applyAlignment="1">
      <alignment/>
    </xf>
    <xf numFmtId="0" fontId="0" fillId="0" borderId="0" xfId="0" applyFill="1" applyBorder="1" applyAlignment="1">
      <alignment/>
    </xf>
    <xf numFmtId="43" fontId="0" fillId="0" borderId="0" xfId="63" applyAlignment="1">
      <alignment/>
    </xf>
    <xf numFmtId="166" fontId="0" fillId="0" borderId="0" xfId="63" applyNumberFormat="1" applyAlignment="1">
      <alignment/>
    </xf>
    <xf numFmtId="0" fontId="2" fillId="0" borderId="0" xfId="0" applyFont="1" applyFill="1" applyAlignment="1">
      <alignment/>
    </xf>
    <xf numFmtId="166" fontId="0" fillId="0" borderId="0" xfId="63" applyNumberFormat="1" applyFill="1" applyBorder="1" applyAlignment="1">
      <alignment/>
    </xf>
    <xf numFmtId="0" fontId="0" fillId="0" borderId="36" xfId="0" applyBorder="1" applyAlignment="1">
      <alignment/>
    </xf>
    <xf numFmtId="166" fontId="0" fillId="0" borderId="37" xfId="63" applyNumberFormat="1" applyBorder="1" applyAlignment="1">
      <alignment/>
    </xf>
    <xf numFmtId="0" fontId="0" fillId="0" borderId="33" xfId="0" applyFill="1" applyBorder="1" applyAlignment="1">
      <alignment/>
    </xf>
    <xf numFmtId="0" fontId="0" fillId="0" borderId="38" xfId="0" applyFill="1" applyBorder="1" applyAlignment="1">
      <alignment/>
    </xf>
    <xf numFmtId="166" fontId="0" fillId="0" borderId="39" xfId="63" applyNumberFormat="1" applyFill="1" applyBorder="1" applyAlignment="1">
      <alignment/>
    </xf>
    <xf numFmtId="0" fontId="0" fillId="24" borderId="17" xfId="0" applyFill="1" applyBorder="1" applyAlignment="1">
      <alignment/>
    </xf>
    <xf numFmtId="166" fontId="3" fillId="0" borderId="40" xfId="63" applyNumberFormat="1" applyFont="1" applyBorder="1" applyAlignment="1">
      <alignment/>
    </xf>
    <xf numFmtId="0" fontId="0" fillId="0" borderId="0" xfId="0" applyBorder="1" applyAlignment="1">
      <alignment/>
    </xf>
    <xf numFmtId="166" fontId="0" fillId="0" borderId="35" xfId="0" applyNumberFormat="1" applyBorder="1" applyAlignment="1">
      <alignment/>
    </xf>
    <xf numFmtId="0" fontId="3" fillId="0" borderId="0" xfId="0" applyFont="1" applyAlignment="1">
      <alignment horizontal="center"/>
    </xf>
    <xf numFmtId="0" fontId="2" fillId="0" borderId="0" xfId="0" applyFont="1" applyBorder="1" applyAlignment="1">
      <alignment/>
    </xf>
    <xf numFmtId="49" fontId="2" fillId="0" borderId="0" xfId="0" applyNumberFormat="1" applyFont="1" applyBorder="1" applyAlignment="1">
      <alignment/>
    </xf>
    <xf numFmtId="166" fontId="2" fillId="0" borderId="0" xfId="63" applyNumberFormat="1" applyFont="1" applyBorder="1" applyAlignment="1">
      <alignment/>
    </xf>
    <xf numFmtId="0" fontId="3" fillId="0" borderId="41" xfId="0" applyFont="1" applyFill="1" applyBorder="1" applyAlignment="1">
      <alignment/>
    </xf>
    <xf numFmtId="166" fontId="0" fillId="0" borderId="42" xfId="63" applyNumberFormat="1" applyBorder="1" applyAlignment="1">
      <alignment/>
    </xf>
    <xf numFmtId="166" fontId="0" fillId="24" borderId="36" xfId="63" applyNumberFormat="1" applyFill="1" applyBorder="1" applyAlignment="1">
      <alignment/>
    </xf>
    <xf numFmtId="166" fontId="0" fillId="0" borderId="36" xfId="63" applyNumberFormat="1" applyBorder="1" applyAlignment="1">
      <alignment/>
    </xf>
    <xf numFmtId="166" fontId="3" fillId="0" borderId="36" xfId="63" applyNumberFormat="1" applyFont="1" applyFill="1" applyBorder="1" applyAlignment="1">
      <alignment/>
    </xf>
    <xf numFmtId="166" fontId="3" fillId="0" borderId="11" xfId="63" applyNumberFormat="1" applyFont="1" applyFill="1" applyBorder="1" applyAlignment="1">
      <alignment/>
    </xf>
    <xf numFmtId="166" fontId="0" fillId="0" borderId="43" xfId="63" applyNumberFormat="1" applyBorder="1" applyAlignment="1">
      <alignment/>
    </xf>
    <xf numFmtId="0" fontId="3" fillId="0" borderId="0" xfId="0" applyFont="1" applyAlignment="1">
      <alignment/>
    </xf>
    <xf numFmtId="0" fontId="3" fillId="0" borderId="0" xfId="0" applyFont="1" applyFill="1" applyAlignment="1">
      <alignment/>
    </xf>
    <xf numFmtId="0" fontId="3" fillId="0" borderId="0" xfId="0" applyFont="1" applyFill="1" applyBorder="1" applyAlignment="1">
      <alignment/>
    </xf>
    <xf numFmtId="166" fontId="3" fillId="0" borderId="0" xfId="63" applyNumberFormat="1" applyFont="1" applyFill="1" applyBorder="1" applyAlignment="1">
      <alignment/>
    </xf>
    <xf numFmtId="166" fontId="0" fillId="0" borderId="0" xfId="63" applyNumberFormat="1" applyFont="1" applyBorder="1" applyAlignment="1">
      <alignment horizontal="center"/>
    </xf>
    <xf numFmtId="166" fontId="0" fillId="0" borderId="0" xfId="63" applyNumberFormat="1" applyBorder="1" applyAlignment="1">
      <alignment horizontal="center"/>
    </xf>
    <xf numFmtId="166" fontId="3" fillId="0" borderId="0" xfId="63" applyNumberFormat="1" applyFont="1" applyBorder="1" applyAlignment="1">
      <alignment/>
    </xf>
    <xf numFmtId="166" fontId="0" fillId="24" borderId="0" xfId="63" applyNumberFormat="1" applyFont="1" applyFill="1" applyBorder="1" applyAlignment="1">
      <alignment/>
    </xf>
    <xf numFmtId="0" fontId="0" fillId="0" borderId="0" xfId="0" applyAlignment="1">
      <alignment/>
    </xf>
    <xf numFmtId="0" fontId="3" fillId="0" borderId="44" xfId="0" applyFont="1" applyBorder="1" applyAlignment="1">
      <alignment/>
    </xf>
    <xf numFmtId="166" fontId="0" fillId="0" borderId="45" xfId="63" applyNumberFormat="1" applyBorder="1" applyAlignment="1">
      <alignment/>
    </xf>
    <xf numFmtId="2" fontId="0" fillId="0" borderId="45" xfId="0" applyNumberFormat="1" applyBorder="1" applyAlignment="1">
      <alignment/>
    </xf>
    <xf numFmtId="166" fontId="0" fillId="0" borderId="46" xfId="63" applyNumberFormat="1" applyBorder="1" applyAlignment="1">
      <alignment/>
    </xf>
    <xf numFmtId="0" fontId="2" fillId="0" borderId="35" xfId="0" applyFont="1" applyBorder="1" applyAlignment="1">
      <alignment/>
    </xf>
    <xf numFmtId="166" fontId="2" fillId="0" borderId="35" xfId="63" applyNumberFormat="1" applyFont="1" applyBorder="1" applyAlignment="1">
      <alignment/>
    </xf>
    <xf numFmtId="0" fontId="2" fillId="0" borderId="0" xfId="0" applyFont="1" applyAlignment="1">
      <alignment/>
    </xf>
    <xf numFmtId="0" fontId="2" fillId="0" borderId="35" xfId="0" applyFont="1" applyBorder="1" applyAlignment="1">
      <alignment/>
    </xf>
    <xf numFmtId="166" fontId="2" fillId="0" borderId="0" xfId="63" applyNumberFormat="1" applyFont="1" applyAlignment="1">
      <alignment/>
    </xf>
    <xf numFmtId="0" fontId="0" fillId="0" borderId="35" xfId="0" applyFill="1" applyBorder="1" applyAlignment="1">
      <alignment wrapText="1"/>
    </xf>
    <xf numFmtId="2" fontId="2" fillId="0" borderId="0" xfId="0" applyNumberFormat="1" applyFont="1" applyAlignment="1">
      <alignment/>
    </xf>
    <xf numFmtId="166" fontId="2" fillId="0" borderId="11" xfId="0" applyNumberFormat="1" applyFont="1" applyBorder="1" applyAlignment="1">
      <alignment/>
    </xf>
    <xf numFmtId="0" fontId="0" fillId="0" borderId="0" xfId="0" applyFill="1" applyAlignment="1">
      <alignment/>
    </xf>
    <xf numFmtId="0" fontId="0" fillId="0" borderId="47" xfId="0" applyFill="1" applyBorder="1" applyAlignment="1">
      <alignment/>
    </xf>
    <xf numFmtId="0" fontId="0" fillId="0" borderId="35" xfId="0" applyFill="1" applyBorder="1" applyAlignment="1">
      <alignment/>
    </xf>
    <xf numFmtId="0" fontId="0" fillId="0" borderId="48" xfId="0" applyFill="1" applyBorder="1" applyAlignment="1">
      <alignment/>
    </xf>
    <xf numFmtId="0" fontId="0" fillId="0" borderId="49" xfId="0" applyFill="1" applyBorder="1" applyAlignment="1">
      <alignment wrapText="1"/>
    </xf>
    <xf numFmtId="49" fontId="0" fillId="0" borderId="49" xfId="0" applyNumberFormat="1" applyFill="1" applyBorder="1" applyAlignment="1">
      <alignment horizontal="center"/>
    </xf>
    <xf numFmtId="0" fontId="0" fillId="0" borderId="50" xfId="0" applyFill="1" applyBorder="1" applyAlignment="1">
      <alignment/>
    </xf>
    <xf numFmtId="0" fontId="42" fillId="0" borderId="0" xfId="0" applyFont="1" applyAlignment="1">
      <alignment horizontal="center" vertical="center"/>
    </xf>
    <xf numFmtId="0" fontId="36" fillId="0" borderId="10" xfId="0" applyFont="1" applyBorder="1" applyAlignment="1">
      <alignment horizontal="center" vertical="center" wrapText="1"/>
    </xf>
    <xf numFmtId="1" fontId="0" fillId="0" borderId="0" xfId="0" applyNumberFormat="1" applyFill="1" applyBorder="1" applyAlignment="1">
      <alignment/>
    </xf>
    <xf numFmtId="3" fontId="0" fillId="0" borderId="0" xfId="0" applyNumberFormat="1" applyFill="1" applyBorder="1" applyAlignment="1">
      <alignment/>
    </xf>
    <xf numFmtId="3" fontId="0" fillId="0" borderId="18" xfId="0" applyNumberFormat="1" applyFill="1" applyBorder="1" applyAlignment="1">
      <alignment/>
    </xf>
    <xf numFmtId="3" fontId="0" fillId="0" borderId="35" xfId="0" applyNumberFormat="1" applyFill="1" applyBorder="1" applyAlignment="1">
      <alignment/>
    </xf>
    <xf numFmtId="3" fontId="0" fillId="0" borderId="51" xfId="0" applyNumberFormat="1" applyFill="1" applyBorder="1" applyAlignment="1">
      <alignment/>
    </xf>
    <xf numFmtId="0" fontId="0" fillId="0" borderId="49" xfId="0" applyFill="1" applyBorder="1" applyAlignment="1">
      <alignment/>
    </xf>
    <xf numFmtId="3" fontId="0" fillId="0" borderId="49" xfId="0" applyNumberFormat="1" applyFill="1" applyBorder="1" applyAlignment="1">
      <alignment/>
    </xf>
    <xf numFmtId="3" fontId="0" fillId="0" borderId="50" xfId="0" applyNumberFormat="1" applyFill="1" applyBorder="1" applyAlignment="1">
      <alignment/>
    </xf>
    <xf numFmtId="0" fontId="16" fillId="0" borderId="47" xfId="0" applyFont="1" applyFill="1" applyBorder="1" applyAlignment="1">
      <alignment/>
    </xf>
    <xf numFmtId="166" fontId="0" fillId="0" borderId="35" xfId="63" applyNumberFormat="1" applyFill="1" applyBorder="1" applyAlignment="1">
      <alignment/>
    </xf>
    <xf numFmtId="0" fontId="0" fillId="0" borderId="48" xfId="0" applyBorder="1" applyAlignment="1">
      <alignment/>
    </xf>
    <xf numFmtId="0" fontId="0" fillId="0" borderId="49" xfId="0" applyBorder="1" applyAlignment="1">
      <alignment/>
    </xf>
    <xf numFmtId="3" fontId="0" fillId="0" borderId="49" xfId="0" applyNumberFormat="1" applyBorder="1" applyAlignment="1">
      <alignment/>
    </xf>
    <xf numFmtId="3" fontId="0" fillId="0" borderId="50" xfId="0" applyNumberFormat="1" applyBorder="1" applyAlignment="1">
      <alignment/>
    </xf>
    <xf numFmtId="0" fontId="16" fillId="0" borderId="47" xfId="0" applyFont="1" applyBorder="1" applyAlignment="1">
      <alignment/>
    </xf>
    <xf numFmtId="3" fontId="0" fillId="0" borderId="35" xfId="0" applyNumberFormat="1" applyBorder="1" applyAlignment="1">
      <alignment/>
    </xf>
    <xf numFmtId="3" fontId="0" fillId="0" borderId="51" xfId="0" applyNumberFormat="1" applyBorder="1" applyAlignment="1">
      <alignment/>
    </xf>
    <xf numFmtId="0" fontId="0" fillId="0" borderId="12" xfId="0" applyFont="1" applyBorder="1" applyAlignment="1">
      <alignment/>
    </xf>
    <xf numFmtId="3" fontId="0" fillId="0" borderId="0" xfId="0" applyNumberFormat="1" applyBorder="1" applyAlignment="1">
      <alignment/>
    </xf>
    <xf numFmtId="3" fontId="0" fillId="0" borderId="18" xfId="0" applyNumberFormat="1" applyBorder="1" applyAlignment="1">
      <alignment/>
    </xf>
    <xf numFmtId="0" fontId="16" fillId="0" borderId="12" xfId="0" applyFont="1" applyBorder="1" applyAlignment="1">
      <alignment/>
    </xf>
    <xf numFmtId="0" fontId="0" fillId="0" borderId="47" xfId="0" applyBorder="1" applyAlignment="1">
      <alignment/>
    </xf>
    <xf numFmtId="0" fontId="0" fillId="0" borderId="50" xfId="0" applyBorder="1" applyAlignment="1">
      <alignment/>
    </xf>
    <xf numFmtId="0" fontId="0" fillId="23" borderId="35" xfId="0" applyFill="1" applyBorder="1" applyAlignment="1">
      <alignment/>
    </xf>
    <xf numFmtId="3" fontId="0" fillId="0" borderId="0" xfId="0" applyNumberFormat="1" applyAlignment="1">
      <alignment/>
    </xf>
    <xf numFmtId="3" fontId="0" fillId="23" borderId="0" xfId="0" applyNumberFormat="1" applyFill="1" applyBorder="1" applyAlignment="1">
      <alignment/>
    </xf>
    <xf numFmtId="0" fontId="0" fillId="0" borderId="52" xfId="0" applyFill="1" applyBorder="1" applyAlignment="1">
      <alignment/>
    </xf>
    <xf numFmtId="3" fontId="0" fillId="0" borderId="52" xfId="0" applyNumberFormat="1" applyFill="1" applyBorder="1" applyAlignment="1">
      <alignment/>
    </xf>
    <xf numFmtId="3" fontId="0" fillId="0" borderId="49" xfId="0" applyNumberFormat="1" applyFill="1" applyBorder="1" applyAlignment="1">
      <alignment/>
    </xf>
    <xf numFmtId="3" fontId="0" fillId="0" borderId="50" xfId="0" applyNumberFormat="1" applyFill="1" applyBorder="1" applyAlignment="1">
      <alignment/>
    </xf>
    <xf numFmtId="0" fontId="0" fillId="0" borderId="53" xfId="0" applyFill="1" applyBorder="1" applyAlignment="1">
      <alignment/>
    </xf>
    <xf numFmtId="167" fontId="0" fillId="0" borderId="54" xfId="0" applyNumberFormat="1" applyFill="1" applyBorder="1" applyAlignment="1">
      <alignment/>
    </xf>
    <xf numFmtId="167" fontId="0" fillId="0" borderId="54" xfId="0" applyNumberFormat="1" applyFill="1" applyBorder="1" applyAlignment="1">
      <alignment/>
    </xf>
    <xf numFmtId="167" fontId="0" fillId="0" borderId="55" xfId="0" applyNumberFormat="1" applyFill="1" applyBorder="1" applyAlignment="1">
      <alignment/>
    </xf>
    <xf numFmtId="167" fontId="0" fillId="0" borderId="56" xfId="0" applyNumberFormat="1" applyFill="1" applyBorder="1" applyAlignment="1">
      <alignment/>
    </xf>
    <xf numFmtId="49" fontId="0" fillId="0" borderId="12" xfId="0" applyNumberFormat="1" applyFill="1" applyBorder="1" applyAlignment="1">
      <alignment/>
    </xf>
    <xf numFmtId="167" fontId="0" fillId="0" borderId="57" xfId="0" applyNumberFormat="1" applyFill="1" applyBorder="1" applyAlignment="1">
      <alignment/>
    </xf>
    <xf numFmtId="167" fontId="0" fillId="0" borderId="57" xfId="0" applyNumberFormat="1" applyFill="1" applyBorder="1" applyAlignment="1">
      <alignment/>
    </xf>
    <xf numFmtId="167" fontId="0" fillId="0" borderId="0" xfId="0" applyNumberFormat="1" applyFill="1" applyBorder="1" applyAlignment="1">
      <alignment/>
    </xf>
    <xf numFmtId="167" fontId="0" fillId="0" borderId="18" xfId="0" applyNumberFormat="1" applyFill="1" applyBorder="1" applyAlignment="1">
      <alignment/>
    </xf>
    <xf numFmtId="49" fontId="0" fillId="0" borderId="53" xfId="0" applyNumberFormat="1" applyFill="1" applyBorder="1" applyAlignment="1">
      <alignment/>
    </xf>
    <xf numFmtId="49" fontId="0" fillId="0" borderId="0" xfId="0" applyNumberFormat="1" applyFill="1" applyBorder="1" applyAlignment="1">
      <alignment/>
    </xf>
    <xf numFmtId="167" fontId="0" fillId="0" borderId="0" xfId="0" applyNumberFormat="1" applyFill="1" applyBorder="1" applyAlignment="1">
      <alignment/>
    </xf>
    <xf numFmtId="167" fontId="0" fillId="0" borderId="0" xfId="0" applyNumberFormat="1" applyFill="1" applyBorder="1" applyAlignment="1">
      <alignment horizontal="left"/>
    </xf>
    <xf numFmtId="167" fontId="0" fillId="0" borderId="0" xfId="0" applyNumberFormat="1" applyFill="1" applyBorder="1" applyAlignment="1">
      <alignment horizontal="right"/>
    </xf>
    <xf numFmtId="168" fontId="0" fillId="0" borderId="0" xfId="0" applyNumberFormat="1" applyFill="1" applyBorder="1" applyAlignment="1">
      <alignment/>
    </xf>
    <xf numFmtId="3" fontId="0" fillId="0" borderId="0" xfId="0" applyNumberFormat="1" applyFill="1" applyBorder="1" applyAlignment="1">
      <alignment/>
    </xf>
    <xf numFmtId="166" fontId="0" fillId="0" borderId="0" xfId="63" applyNumberFormat="1" applyFont="1" applyFill="1" applyBorder="1" applyAlignment="1">
      <alignment/>
    </xf>
    <xf numFmtId="165" fontId="0" fillId="0" borderId="0" xfId="63" applyNumberFormat="1" applyFont="1" applyFill="1" applyBorder="1" applyAlignment="1">
      <alignment horizontal="center"/>
    </xf>
    <xf numFmtId="165" fontId="0" fillId="0" borderId="0" xfId="63" applyNumberFormat="1" applyFill="1" applyBorder="1" applyAlignment="1">
      <alignment horizontal="right"/>
    </xf>
    <xf numFmtId="167" fontId="0" fillId="0" borderId="0" xfId="63" applyNumberFormat="1" applyFill="1" applyBorder="1" applyAlignment="1">
      <alignment horizontal="right"/>
    </xf>
    <xf numFmtId="9" fontId="0" fillId="0" borderId="0" xfId="94" applyFill="1" applyBorder="1" applyAlignment="1">
      <alignment/>
    </xf>
    <xf numFmtId="3" fontId="0" fillId="0" borderId="0" xfId="63" applyNumberFormat="1" applyFill="1" applyBorder="1" applyAlignment="1">
      <alignment/>
    </xf>
    <xf numFmtId="3" fontId="0" fillId="0" borderId="0" xfId="63" applyNumberFormat="1" applyFill="1" applyBorder="1" applyAlignment="1">
      <alignment horizontal="right"/>
    </xf>
    <xf numFmtId="49" fontId="0" fillId="0" borderId="0" xfId="0" applyNumberFormat="1" applyFill="1" applyBorder="1" applyAlignment="1" quotePrefix="1">
      <alignment/>
    </xf>
    <xf numFmtId="0" fontId="0" fillId="0" borderId="0" xfId="0" applyNumberFormat="1" applyFill="1" applyBorder="1" applyAlignment="1">
      <alignment/>
    </xf>
    <xf numFmtId="166" fontId="0" fillId="23" borderId="0" xfId="63" applyNumberFormat="1" applyFill="1" applyBorder="1" applyAlignment="1">
      <alignment horizontal="right"/>
    </xf>
    <xf numFmtId="4" fontId="0" fillId="0" borderId="0" xfId="63" applyNumberFormat="1" applyFill="1" applyBorder="1" applyAlignment="1">
      <alignment horizontal="right"/>
    </xf>
    <xf numFmtId="0" fontId="0" fillId="0" borderId="0" xfId="0" applyNumberFormat="1" applyFill="1" applyBorder="1" applyAlignment="1" quotePrefix="1">
      <alignment/>
    </xf>
    <xf numFmtId="3" fontId="0" fillId="0" borderId="0" xfId="0" applyNumberFormat="1" applyFill="1" applyBorder="1" applyAlignment="1">
      <alignment horizontal="right"/>
    </xf>
    <xf numFmtId="3" fontId="0" fillId="0" borderId="0" xfId="0" applyNumberFormat="1" applyFill="1" applyBorder="1" applyAlignment="1">
      <alignment horizontal="left"/>
    </xf>
    <xf numFmtId="167" fontId="0" fillId="23" borderId="0" xfId="0" applyNumberFormat="1" applyFill="1" applyBorder="1" applyAlignment="1">
      <alignment/>
    </xf>
    <xf numFmtId="0" fontId="0" fillId="0" borderId="0" xfId="0" applyFill="1" applyBorder="1" applyAlignment="1">
      <alignment horizontal="center"/>
    </xf>
    <xf numFmtId="167" fontId="0" fillId="0" borderId="0" xfId="0" applyNumberFormat="1" applyFill="1" applyBorder="1" applyAlignment="1">
      <alignment horizontal="center"/>
    </xf>
    <xf numFmtId="167" fontId="0" fillId="0" borderId="0" xfId="63" applyNumberFormat="1" applyFill="1" applyBorder="1" applyAlignment="1">
      <alignment/>
    </xf>
    <xf numFmtId="166" fontId="0" fillId="0" borderId="0" xfId="63" applyNumberFormat="1" applyAlignment="1">
      <alignment/>
    </xf>
    <xf numFmtId="3" fontId="17" fillId="0" borderId="0" xfId="87" applyNumberFormat="1" applyAlignment="1">
      <alignment horizontal="center"/>
      <protection/>
    </xf>
    <xf numFmtId="3" fontId="0" fillId="0" borderId="0" xfId="87" applyNumberFormat="1" applyFont="1" applyAlignment="1">
      <alignment horizontal="center"/>
      <protection/>
    </xf>
    <xf numFmtId="3" fontId="17" fillId="0" borderId="0" xfId="87" applyNumberFormat="1" applyFont="1" applyAlignment="1">
      <alignment horizontal="center"/>
      <protection/>
    </xf>
    <xf numFmtId="0" fontId="17" fillId="0" borderId="0" xfId="87">
      <alignment/>
      <protection/>
    </xf>
    <xf numFmtId="1" fontId="17" fillId="0" borderId="0" xfId="87" applyNumberFormat="1" applyAlignment="1">
      <alignment horizontal="center"/>
      <protection/>
    </xf>
    <xf numFmtId="3" fontId="17" fillId="0" borderId="0" xfId="87" applyNumberFormat="1" applyAlignment="1">
      <alignment horizontal="center" vertical="top"/>
      <protection/>
    </xf>
    <xf numFmtId="3" fontId="17" fillId="0" borderId="0" xfId="87" applyNumberFormat="1">
      <alignment/>
      <protection/>
    </xf>
    <xf numFmtId="0" fontId="0" fillId="0" borderId="0" xfId="87" applyFont="1">
      <alignment/>
      <protection/>
    </xf>
    <xf numFmtId="2" fontId="0" fillId="0" borderId="0" xfId="87" applyNumberFormat="1" applyFont="1" applyAlignment="1">
      <alignment horizontal="center"/>
      <protection/>
    </xf>
    <xf numFmtId="3" fontId="17" fillId="0" borderId="58" xfId="87" applyNumberFormat="1" applyBorder="1" applyAlignment="1">
      <alignment horizontal="center"/>
      <protection/>
    </xf>
    <xf numFmtId="3" fontId="17" fillId="0" borderId="58" xfId="87" applyNumberFormat="1" applyBorder="1" applyAlignment="1">
      <alignment horizontal="center" vertical="top"/>
      <protection/>
    </xf>
    <xf numFmtId="0" fontId="17" fillId="0" borderId="58" xfId="87" applyBorder="1">
      <alignment/>
      <protection/>
    </xf>
    <xf numFmtId="3" fontId="0" fillId="0" borderId="0" xfId="87" applyNumberFormat="1" applyFont="1">
      <alignment/>
      <protection/>
    </xf>
    <xf numFmtId="3" fontId="17" fillId="0" borderId="0" xfId="87" applyNumberFormat="1" applyFont="1" applyAlignment="1">
      <alignment horizontal="left" vertical="center"/>
      <protection/>
    </xf>
    <xf numFmtId="0" fontId="0" fillId="0" borderId="0" xfId="87" applyFont="1" applyAlignment="1">
      <alignment horizontal="center"/>
      <protection/>
    </xf>
    <xf numFmtId="0" fontId="0" fillId="0" borderId="0" xfId="87" applyFont="1" applyAlignment="1">
      <alignment horizontal="left" vertical="center"/>
      <protection/>
    </xf>
    <xf numFmtId="49" fontId="0" fillId="0" borderId="0" xfId="87" applyNumberFormat="1" applyFont="1" applyAlignment="1">
      <alignment horizontal="left" vertical="center"/>
      <protection/>
    </xf>
    <xf numFmtId="0" fontId="0" fillId="0" borderId="0" xfId="87" applyFont="1" applyAlignment="1">
      <alignment horizontal="left"/>
      <protection/>
    </xf>
    <xf numFmtId="0" fontId="0" fillId="0" borderId="59" xfId="87" applyFont="1" applyBorder="1">
      <alignment/>
      <protection/>
    </xf>
    <xf numFmtId="0" fontId="17" fillId="0" borderId="59" xfId="87" applyBorder="1">
      <alignment/>
      <protection/>
    </xf>
    <xf numFmtId="3" fontId="17" fillId="0" borderId="59" xfId="87" applyNumberFormat="1" applyBorder="1">
      <alignment/>
      <protection/>
    </xf>
    <xf numFmtId="0" fontId="0" fillId="0" borderId="0" xfId="87" applyFont="1" applyBorder="1">
      <alignment/>
      <protection/>
    </xf>
    <xf numFmtId="0" fontId="17" fillId="0" borderId="0" xfId="87" applyBorder="1">
      <alignment/>
      <protection/>
    </xf>
    <xf numFmtId="3" fontId="0" fillId="0" borderId="58" xfId="87" applyNumberFormat="1" applyFont="1" applyBorder="1">
      <alignment/>
      <protection/>
    </xf>
    <xf numFmtId="3" fontId="17" fillId="0" borderId="58" xfId="87" applyNumberFormat="1" applyBorder="1">
      <alignment/>
      <protection/>
    </xf>
    <xf numFmtId="3" fontId="17" fillId="0" borderId="60" xfId="87" applyNumberFormat="1" applyBorder="1">
      <alignment/>
      <protection/>
    </xf>
    <xf numFmtId="4" fontId="17" fillId="0" borderId="0" xfId="87" applyNumberFormat="1">
      <alignment/>
      <protection/>
    </xf>
    <xf numFmtId="3" fontId="3" fillId="0" borderId="0" xfId="87" applyNumberFormat="1" applyFont="1">
      <alignment/>
      <protection/>
    </xf>
    <xf numFmtId="3" fontId="17" fillId="0" borderId="0" xfId="87" applyNumberFormat="1" applyBorder="1">
      <alignment/>
      <protection/>
    </xf>
    <xf numFmtId="0" fontId="0" fillId="23" borderId="0" xfId="0" applyFill="1" applyAlignment="1">
      <alignment/>
    </xf>
    <xf numFmtId="0" fontId="0" fillId="23" borderId="0" xfId="0" applyFill="1" applyAlignment="1">
      <alignment horizontal="center" wrapText="1"/>
    </xf>
    <xf numFmtId="0" fontId="0" fillId="0" borderId="37" xfId="0" applyFill="1" applyBorder="1" applyAlignment="1">
      <alignment/>
    </xf>
    <xf numFmtId="0" fontId="0" fillId="0" borderId="37" xfId="0" applyBorder="1" applyAlignment="1">
      <alignment/>
    </xf>
    <xf numFmtId="3" fontId="0" fillId="0" borderId="37" xfId="0" applyNumberFormat="1" applyBorder="1" applyAlignment="1">
      <alignment/>
    </xf>
    <xf numFmtId="0" fontId="12" fillId="0" borderId="0" xfId="0" applyFont="1" applyAlignment="1">
      <alignment/>
    </xf>
    <xf numFmtId="0" fontId="5" fillId="0" borderId="0" xfId="0" applyFont="1" applyAlignment="1">
      <alignment/>
    </xf>
    <xf numFmtId="0" fontId="34" fillId="0" borderId="0" xfId="0" applyFont="1" applyAlignment="1">
      <alignment/>
    </xf>
    <xf numFmtId="0" fontId="5" fillId="0" borderId="0" xfId="0" applyFont="1" applyAlignment="1">
      <alignment/>
    </xf>
    <xf numFmtId="166" fontId="5" fillId="0" borderId="0" xfId="63" applyNumberFormat="1" applyFont="1" applyAlignment="1">
      <alignment/>
    </xf>
    <xf numFmtId="0" fontId="35" fillId="0" borderId="0" xfId="0" applyFont="1" applyAlignment="1">
      <alignment/>
    </xf>
    <xf numFmtId="0" fontId="36" fillId="4" borderId="0" xfId="0" applyFont="1" applyFill="1" applyAlignment="1">
      <alignment horizontal="left" indent="1"/>
    </xf>
    <xf numFmtId="10" fontId="36" fillId="4" borderId="0" xfId="0" applyNumberFormat="1" applyFont="1" applyFill="1" applyAlignment="1">
      <alignment horizontal="left" indent="1"/>
    </xf>
    <xf numFmtId="0" fontId="35" fillId="0" borderId="54" xfId="0" applyFont="1" applyBorder="1" applyAlignment="1">
      <alignment wrapText="1"/>
    </xf>
    <xf numFmtId="0" fontId="35" fillId="4" borderId="56" xfId="0" applyFont="1" applyFill="1" applyBorder="1" applyAlignment="1">
      <alignment/>
    </xf>
    <xf numFmtId="0" fontId="35" fillId="4" borderId="54" xfId="0" applyFont="1" applyFill="1" applyBorder="1" applyAlignment="1">
      <alignment/>
    </xf>
    <xf numFmtId="0" fontId="35" fillId="0" borderId="56" xfId="0" applyFont="1" applyBorder="1" applyAlignment="1">
      <alignment wrapText="1"/>
    </xf>
    <xf numFmtId="0" fontId="2" fillId="0" borderId="52" xfId="0" applyFont="1" applyBorder="1" applyAlignment="1">
      <alignment/>
    </xf>
    <xf numFmtId="3" fontId="2" fillId="4" borderId="49" xfId="0" applyNumberFormat="1" applyFont="1" applyFill="1" applyBorder="1" applyAlignment="1">
      <alignment/>
    </xf>
    <xf numFmtId="3" fontId="2" fillId="4" borderId="52" xfId="0" applyNumberFormat="1" applyFont="1" applyFill="1" applyBorder="1" applyAlignment="1">
      <alignment/>
    </xf>
    <xf numFmtId="3" fontId="2" fillId="0" borderId="52" xfId="0" applyNumberFormat="1" applyFont="1" applyBorder="1" applyAlignment="1">
      <alignment/>
    </xf>
    <xf numFmtId="194" fontId="2" fillId="0" borderId="52" xfId="0" applyNumberFormat="1" applyFont="1" applyBorder="1" applyAlignment="1">
      <alignment horizontal="right"/>
    </xf>
    <xf numFmtId="4" fontId="2" fillId="0" borderId="52" xfId="0" applyNumberFormat="1" applyFont="1" applyBorder="1" applyAlignment="1">
      <alignment/>
    </xf>
    <xf numFmtId="0" fontId="2" fillId="0" borderId="57" xfId="0" applyFont="1" applyBorder="1" applyAlignment="1">
      <alignment/>
    </xf>
    <xf numFmtId="3" fontId="2" fillId="4" borderId="0" xfId="0" applyNumberFormat="1" applyFont="1" applyFill="1" applyBorder="1" applyAlignment="1">
      <alignment/>
    </xf>
    <xf numFmtId="3" fontId="2" fillId="4" borderId="57" xfId="0" applyNumberFormat="1" applyFont="1" applyFill="1" applyBorder="1" applyAlignment="1">
      <alignment/>
    </xf>
    <xf numFmtId="3" fontId="2" fillId="0" borderId="57" xfId="0" applyNumberFormat="1" applyFont="1" applyBorder="1" applyAlignment="1">
      <alignment/>
    </xf>
    <xf numFmtId="194" fontId="2" fillId="0" borderId="57" xfId="0" applyNumberFormat="1" applyFont="1" applyBorder="1" applyAlignment="1">
      <alignment horizontal="right"/>
    </xf>
    <xf numFmtId="4" fontId="2" fillId="0" borderId="57" xfId="0" applyNumberFormat="1" applyFont="1" applyBorder="1" applyAlignment="1">
      <alignment/>
    </xf>
    <xf numFmtId="9" fontId="0" fillId="0" borderId="0" xfId="0" applyNumberFormat="1" applyAlignment="1">
      <alignment/>
    </xf>
    <xf numFmtId="0" fontId="2" fillId="0" borderId="61" xfId="0" applyFont="1" applyBorder="1" applyAlignment="1">
      <alignment/>
    </xf>
    <xf numFmtId="3" fontId="2" fillId="4" borderId="35" xfId="0" applyNumberFormat="1" applyFont="1" applyFill="1" applyBorder="1" applyAlignment="1">
      <alignment/>
    </xf>
    <xf numFmtId="3" fontId="2" fillId="4" borderId="61" xfId="0" applyNumberFormat="1" applyFont="1" applyFill="1" applyBorder="1" applyAlignment="1">
      <alignment/>
    </xf>
    <xf numFmtId="3" fontId="2" fillId="0" borderId="61" xfId="0" applyNumberFormat="1" applyFont="1" applyBorder="1" applyAlignment="1">
      <alignment/>
    </xf>
    <xf numFmtId="194" fontId="2" fillId="0" borderId="61" xfId="0" applyNumberFormat="1" applyFont="1" applyBorder="1" applyAlignment="1">
      <alignment horizontal="right"/>
    </xf>
    <xf numFmtId="4" fontId="2" fillId="0" borderId="61" xfId="0" applyNumberFormat="1" applyFont="1" applyBorder="1" applyAlignment="1">
      <alignment/>
    </xf>
    <xf numFmtId="0" fontId="2" fillId="23" borderId="47" xfId="0" applyFont="1" applyFill="1" applyBorder="1" applyAlignment="1">
      <alignment/>
    </xf>
    <xf numFmtId="0" fontId="2" fillId="23" borderId="35" xfId="0" applyFont="1" applyFill="1" applyBorder="1" applyAlignment="1">
      <alignment/>
    </xf>
    <xf numFmtId="4" fontId="2" fillId="23" borderId="51" xfId="0" applyNumberFormat="1" applyFont="1" applyFill="1" applyBorder="1" applyAlignment="1">
      <alignment/>
    </xf>
    <xf numFmtId="40" fontId="2" fillId="0" borderId="0" xfId="0" applyNumberFormat="1" applyFont="1" applyFill="1" applyBorder="1" applyAlignment="1">
      <alignment/>
    </xf>
    <xf numFmtId="40" fontId="2" fillId="23" borderId="61" xfId="0" applyNumberFormat="1" applyFont="1" applyFill="1" applyBorder="1" applyAlignment="1">
      <alignment/>
    </xf>
    <xf numFmtId="0" fontId="2" fillId="23" borderId="12" xfId="0" applyFont="1" applyFill="1" applyBorder="1" applyAlignment="1">
      <alignment/>
    </xf>
    <xf numFmtId="0" fontId="38" fillId="23" borderId="0" xfId="0" applyFont="1" applyFill="1" applyBorder="1" applyAlignment="1">
      <alignment/>
    </xf>
    <xf numFmtId="4" fontId="2" fillId="23" borderId="18" xfId="0" applyNumberFormat="1" applyFont="1" applyFill="1" applyBorder="1" applyAlignment="1">
      <alignment/>
    </xf>
    <xf numFmtId="4" fontId="2" fillId="0" borderId="0" xfId="0" applyNumberFormat="1" applyFont="1" applyFill="1" applyBorder="1" applyAlignment="1">
      <alignment/>
    </xf>
    <xf numFmtId="0" fontId="2" fillId="23" borderId="53" xfId="0" applyFont="1" applyFill="1" applyBorder="1" applyAlignment="1">
      <alignment/>
    </xf>
    <xf numFmtId="0" fontId="2" fillId="23" borderId="55" xfId="0" applyFont="1" applyFill="1" applyBorder="1" applyAlignment="1">
      <alignment/>
    </xf>
    <xf numFmtId="10" fontId="2" fillId="23" borderId="56" xfId="0" applyNumberFormat="1" applyFont="1" applyFill="1" applyBorder="1" applyAlignment="1">
      <alignment/>
    </xf>
    <xf numFmtId="10" fontId="2" fillId="0" borderId="0" xfId="0" applyNumberFormat="1" applyFont="1" applyFill="1" applyBorder="1" applyAlignment="1">
      <alignment/>
    </xf>
    <xf numFmtId="2" fontId="2" fillId="23" borderId="51" xfId="0" applyNumberFormat="1" applyFont="1" applyFill="1" applyBorder="1" applyAlignment="1">
      <alignment/>
    </xf>
    <xf numFmtId="2" fontId="2" fillId="0" borderId="0" xfId="0" applyNumberFormat="1" applyFont="1" applyFill="1" applyBorder="1" applyAlignment="1">
      <alignment/>
    </xf>
    <xf numFmtId="4" fontId="0" fillId="0" borderId="0" xfId="0" applyNumberFormat="1" applyAlignment="1">
      <alignment/>
    </xf>
    <xf numFmtId="8" fontId="0" fillId="0" borderId="0" xfId="0" applyNumberFormat="1" applyAlignment="1">
      <alignment/>
    </xf>
    <xf numFmtId="0" fontId="5" fillId="0" borderId="0" xfId="0" applyFont="1" applyBorder="1" applyAlignment="1">
      <alignment/>
    </xf>
    <xf numFmtId="43" fontId="5" fillId="0" borderId="0" xfId="63" applyNumberFormat="1" applyFont="1" applyAlignment="1">
      <alignment/>
    </xf>
    <xf numFmtId="0" fontId="5" fillId="0" borderId="0" xfId="0" applyFont="1" applyBorder="1" applyAlignment="1" quotePrefix="1">
      <alignment/>
    </xf>
    <xf numFmtId="0" fontId="5" fillId="0" borderId="0" xfId="0" applyFont="1" applyAlignment="1" quotePrefix="1">
      <alignment/>
    </xf>
    <xf numFmtId="0" fontId="12" fillId="0" borderId="0" xfId="0" applyFont="1" applyAlignment="1">
      <alignment/>
    </xf>
    <xf numFmtId="43" fontId="12" fillId="0" borderId="0" xfId="0" applyNumberFormat="1" applyFont="1" applyAlignment="1">
      <alignment/>
    </xf>
    <xf numFmtId="165" fontId="5" fillId="0" borderId="0" xfId="63" applyNumberFormat="1" applyFont="1" applyAlignment="1">
      <alignment/>
    </xf>
    <xf numFmtId="165" fontId="12" fillId="0" borderId="0" xfId="63" applyNumberFormat="1" applyFont="1" applyAlignment="1">
      <alignment/>
    </xf>
    <xf numFmtId="0" fontId="32" fillId="0" borderId="0" xfId="0" applyFont="1" applyAlignment="1">
      <alignment horizontal="left"/>
    </xf>
    <xf numFmtId="0" fontId="32" fillId="0" borderId="0" xfId="0" applyFont="1" applyAlignment="1">
      <alignment/>
    </xf>
    <xf numFmtId="0" fontId="0" fillId="0" borderId="0" xfId="0" applyFont="1" applyAlignment="1">
      <alignment/>
    </xf>
    <xf numFmtId="0" fontId="17" fillId="0" borderId="0" xfId="0" applyFont="1" applyAlignment="1">
      <alignment horizontal="left"/>
    </xf>
    <xf numFmtId="0" fontId="0" fillId="0" borderId="62" xfId="0" applyFont="1" applyBorder="1" applyAlignment="1">
      <alignment/>
    </xf>
    <xf numFmtId="0" fontId="0" fillId="0" borderId="52" xfId="0" applyFont="1" applyBorder="1" applyAlignment="1">
      <alignment/>
    </xf>
    <xf numFmtId="2" fontId="0" fillId="10" borderId="52" xfId="0" applyNumberFormat="1" applyFont="1" applyFill="1" applyBorder="1" applyAlignment="1">
      <alignment/>
    </xf>
    <xf numFmtId="2" fontId="0" fillId="24" borderId="52" xfId="0" applyNumberFormat="1" applyFont="1" applyFill="1" applyBorder="1" applyAlignment="1">
      <alignment/>
    </xf>
    <xf numFmtId="9" fontId="0" fillId="10" borderId="57" xfId="94" applyFont="1" applyFill="1" applyBorder="1" applyAlignment="1">
      <alignment/>
    </xf>
    <xf numFmtId="10" fontId="0" fillId="24" borderId="57" xfId="0" applyNumberFormat="1" applyFont="1" applyFill="1" applyBorder="1" applyAlignment="1">
      <alignment/>
    </xf>
    <xf numFmtId="4" fontId="0" fillId="10" borderId="57" xfId="0" applyNumberFormat="1" applyFont="1" applyFill="1" applyBorder="1" applyAlignment="1">
      <alignment/>
    </xf>
    <xf numFmtId="4" fontId="0" fillId="24" borderId="57" xfId="0" applyNumberFormat="1" applyFont="1" applyFill="1" applyBorder="1" applyAlignment="1">
      <alignment/>
    </xf>
    <xf numFmtId="0" fontId="0" fillId="0" borderId="47" xfId="0" applyFont="1" applyBorder="1" applyAlignment="1">
      <alignment/>
    </xf>
    <xf numFmtId="4" fontId="0" fillId="10" borderId="61" xfId="0" applyNumberFormat="1" applyFont="1" applyFill="1" applyBorder="1" applyAlignment="1">
      <alignment/>
    </xf>
    <xf numFmtId="4" fontId="0" fillId="24" borderId="61" xfId="0" applyNumberFormat="1" applyFont="1" applyFill="1" applyBorder="1" applyAlignment="1">
      <alignment/>
    </xf>
    <xf numFmtId="0" fontId="0" fillId="25" borderId="0" xfId="0" applyFill="1" applyBorder="1" applyAlignment="1">
      <alignment/>
    </xf>
    <xf numFmtId="0" fontId="0" fillId="25" borderId="0" xfId="0" applyFont="1" applyFill="1" applyBorder="1" applyAlignment="1">
      <alignment/>
    </xf>
    <xf numFmtId="2" fontId="0" fillId="25" borderId="0" xfId="0" applyNumberFormat="1" applyFont="1" applyFill="1" applyBorder="1" applyAlignment="1">
      <alignment/>
    </xf>
    <xf numFmtId="9" fontId="0" fillId="25" borderId="0" xfId="94" applyFont="1" applyFill="1" applyBorder="1" applyAlignment="1">
      <alignment/>
    </xf>
    <xf numFmtId="10" fontId="0" fillId="25" borderId="0" xfId="0" applyNumberFormat="1" applyFont="1" applyFill="1" applyBorder="1" applyAlignment="1">
      <alignment/>
    </xf>
    <xf numFmtId="0" fontId="0" fillId="0" borderId="49" xfId="0" applyFont="1" applyBorder="1" applyAlignment="1">
      <alignment/>
    </xf>
    <xf numFmtId="4" fontId="0" fillId="25" borderId="0" xfId="0" applyNumberFormat="1" applyFont="1" applyFill="1" applyBorder="1" applyAlignment="1">
      <alignment/>
    </xf>
    <xf numFmtId="0" fontId="0" fillId="0" borderId="0" xfId="0" applyFont="1" applyBorder="1" applyAlignment="1">
      <alignment/>
    </xf>
    <xf numFmtId="189" fontId="0" fillId="24" borderId="57" xfId="0" applyNumberFormat="1" applyFont="1" applyFill="1" applyBorder="1" applyAlignment="1">
      <alignment/>
    </xf>
    <xf numFmtId="0" fontId="32" fillId="25" borderId="0" xfId="0" applyFont="1" applyFill="1" applyBorder="1" applyAlignment="1">
      <alignment/>
    </xf>
    <xf numFmtId="206" fontId="0" fillId="0" borderId="0" xfId="0" applyNumberFormat="1" applyAlignment="1">
      <alignment/>
    </xf>
    <xf numFmtId="2" fontId="0" fillId="10" borderId="57" xfId="94" applyNumberFormat="1" applyFont="1" applyFill="1" applyBorder="1" applyAlignment="1">
      <alignment/>
    </xf>
    <xf numFmtId="2" fontId="0" fillId="10" borderId="57" xfId="0" applyNumberFormat="1" applyFont="1" applyFill="1" applyBorder="1" applyAlignment="1">
      <alignment/>
    </xf>
    <xf numFmtId="2" fontId="0" fillId="10" borderId="61" xfId="0" applyNumberFormat="1" applyFont="1" applyFill="1" applyBorder="1" applyAlignment="1">
      <alignment/>
    </xf>
    <xf numFmtId="3" fontId="0" fillId="0" borderId="0" xfId="0" applyNumberFormat="1" applyAlignment="1">
      <alignment horizontal="right"/>
    </xf>
    <xf numFmtId="0" fontId="0" fillId="0" borderId="0" xfId="0" applyAlignment="1">
      <alignment horizontal="left"/>
    </xf>
    <xf numFmtId="0" fontId="0" fillId="0" borderId="0" xfId="0" applyFont="1" applyAlignment="1">
      <alignment horizontal="center"/>
    </xf>
    <xf numFmtId="3" fontId="0" fillId="0" borderId="0" xfId="0" applyNumberFormat="1" applyAlignment="1">
      <alignment horizontal="center"/>
    </xf>
    <xf numFmtId="2" fontId="0" fillId="0" borderId="0" xfId="0" applyNumberFormat="1" applyAlignment="1">
      <alignment horizontal="center"/>
    </xf>
    <xf numFmtId="10" fontId="0" fillId="0" borderId="0" xfId="0" applyNumberFormat="1" applyAlignment="1">
      <alignment/>
    </xf>
    <xf numFmtId="3" fontId="0" fillId="25" borderId="0" xfId="0" applyNumberFormat="1" applyFill="1" applyBorder="1" applyAlignment="1">
      <alignment/>
    </xf>
    <xf numFmtId="189" fontId="0" fillId="25" borderId="0" xfId="0" applyNumberFormat="1" applyFont="1" applyFill="1" applyBorder="1" applyAlignment="1">
      <alignment/>
    </xf>
    <xf numFmtId="4" fontId="0" fillId="25" borderId="0" xfId="0" applyNumberFormat="1" applyFill="1" applyBorder="1" applyAlignment="1">
      <alignment/>
    </xf>
    <xf numFmtId="0" fontId="0" fillId="25" borderId="0" xfId="0" applyFill="1" applyBorder="1" applyAlignment="1">
      <alignment horizontal="center"/>
    </xf>
    <xf numFmtId="3" fontId="0" fillId="11" borderId="50" xfId="63" applyNumberFormat="1" applyFill="1" applyBorder="1" applyAlignment="1" applyProtection="1">
      <alignment/>
      <protection locked="0"/>
    </xf>
    <xf numFmtId="0" fontId="0" fillId="0" borderId="18" xfId="0" applyBorder="1" applyAlignment="1">
      <alignment/>
    </xf>
    <xf numFmtId="0" fontId="0" fillId="0" borderId="12" xfId="0" applyBorder="1" applyAlignment="1">
      <alignment horizontal="left"/>
    </xf>
    <xf numFmtId="0" fontId="0" fillId="0" borderId="0" xfId="0" applyBorder="1" applyAlignment="1">
      <alignment horizontal="left"/>
    </xf>
    <xf numFmtId="1" fontId="0" fillId="11" borderId="18" xfId="0" applyNumberFormat="1" applyFill="1" applyBorder="1" applyAlignment="1" applyProtection="1">
      <alignment/>
      <protection locked="0"/>
    </xf>
    <xf numFmtId="3" fontId="0" fillId="11" borderId="18" xfId="0" applyNumberFormat="1" applyFill="1" applyBorder="1" applyAlignment="1" applyProtection="1">
      <alignment/>
      <protection locked="0"/>
    </xf>
    <xf numFmtId="188" fontId="0" fillId="0" borderId="40" xfId="0" applyNumberFormat="1" applyBorder="1" applyAlignment="1">
      <alignment/>
    </xf>
    <xf numFmtId="189" fontId="0" fillId="11" borderId="18" xfId="94" applyNumberFormat="1" applyFill="1" applyBorder="1" applyAlignment="1">
      <alignment/>
    </xf>
    <xf numFmtId="3" fontId="0" fillId="11" borderId="18" xfId="0" applyNumberFormat="1" applyFill="1" applyBorder="1" applyAlignment="1">
      <alignment/>
    </xf>
    <xf numFmtId="0" fontId="0" fillId="0" borderId="18" xfId="0" applyFill="1" applyBorder="1" applyAlignment="1" applyProtection="1">
      <alignment/>
      <protection locked="0"/>
    </xf>
    <xf numFmtId="189" fontId="0" fillId="0" borderId="18" xfId="0" applyNumberFormat="1" applyFill="1" applyBorder="1" applyAlignment="1" applyProtection="1">
      <alignment/>
      <protection locked="0"/>
    </xf>
    <xf numFmtId="0" fontId="0" fillId="0" borderId="18" xfId="0" applyBorder="1" applyAlignment="1">
      <alignment horizontal="left"/>
    </xf>
    <xf numFmtId="0" fontId="0" fillId="0" borderId="12" xfId="0" applyFill="1" applyBorder="1" applyAlignment="1">
      <alignment horizontal="left"/>
    </xf>
    <xf numFmtId="0" fontId="0" fillId="0" borderId="0" xfId="0" applyFill="1" applyBorder="1" applyAlignment="1">
      <alignment horizontal="left"/>
    </xf>
    <xf numFmtId="10" fontId="1" fillId="0" borderId="18" xfId="94" applyNumberFormat="1" applyFont="1" applyFill="1" applyBorder="1" applyAlignment="1">
      <alignment/>
    </xf>
    <xf numFmtId="0" fontId="0" fillId="0" borderId="18" xfId="0" applyFill="1" applyBorder="1" applyAlignment="1">
      <alignment horizontal="left"/>
    </xf>
    <xf numFmtId="0" fontId="0" fillId="0" borderId="18" xfId="0" applyFill="1" applyBorder="1" applyAlignment="1">
      <alignment/>
    </xf>
    <xf numFmtId="10" fontId="0" fillId="0" borderId="35" xfId="0" applyNumberFormat="1" applyFill="1" applyBorder="1" applyAlignment="1">
      <alignment/>
    </xf>
    <xf numFmtId="0" fontId="0" fillId="0" borderId="51" xfId="0" applyFill="1" applyBorder="1" applyAlignment="1">
      <alignment/>
    </xf>
    <xf numFmtId="0" fontId="0" fillId="0" borderId="0" xfId="0" applyBorder="1" applyAlignment="1">
      <alignment wrapText="1"/>
    </xf>
    <xf numFmtId="0" fontId="0" fillId="0" borderId="0" xfId="0" applyBorder="1" applyAlignment="1">
      <alignment horizontal="center" wrapText="1"/>
    </xf>
    <xf numFmtId="0" fontId="0" fillId="0" borderId="18" xfId="0" applyBorder="1" applyAlignment="1">
      <alignment wrapText="1"/>
    </xf>
    <xf numFmtId="0" fontId="0" fillId="0" borderId="0" xfId="0" applyAlignment="1">
      <alignment wrapText="1"/>
    </xf>
    <xf numFmtId="3" fontId="0" fillId="0" borderId="0" xfId="63" applyNumberFormat="1" applyBorder="1" applyAlignment="1">
      <alignment/>
    </xf>
    <xf numFmtId="0" fontId="0" fillId="0" borderId="53" xfId="0" applyBorder="1" applyAlignment="1">
      <alignment/>
    </xf>
    <xf numFmtId="3" fontId="0" fillId="0" borderId="55" xfId="0" applyNumberFormat="1" applyBorder="1" applyAlignment="1">
      <alignment/>
    </xf>
    <xf numFmtId="3" fontId="0" fillId="0" borderId="56" xfId="0" applyNumberFormat="1" applyBorder="1" applyAlignment="1">
      <alignment/>
    </xf>
    <xf numFmtId="0" fontId="35" fillId="0" borderId="0" xfId="0" applyFont="1" applyAlignment="1">
      <alignment horizontal="left" vertical="top" wrapText="1"/>
    </xf>
    <xf numFmtId="0" fontId="36" fillId="0" borderId="0" xfId="0" applyFont="1" applyAlignment="1">
      <alignment horizontal="left" vertical="top" wrapText="1"/>
    </xf>
    <xf numFmtId="0" fontId="42" fillId="0" borderId="0" xfId="0" applyFont="1" applyAlignment="1" applyProtection="1">
      <alignment horizontal="center" vertical="center"/>
      <protection locked="0"/>
    </xf>
    <xf numFmtId="49" fontId="43" fillId="0" borderId="35" xfId="0" applyNumberFormat="1" applyFont="1" applyBorder="1" applyAlignment="1">
      <alignment/>
    </xf>
    <xf numFmtId="0" fontId="41" fillId="0" borderId="0" xfId="0" applyFont="1" applyBorder="1" applyAlignment="1">
      <alignment horizontal="center" vertical="center"/>
    </xf>
    <xf numFmtId="0" fontId="5" fillId="0" borderId="0" xfId="0" applyFont="1" applyBorder="1" applyAlignment="1">
      <alignment horizontal="left" vertical="center"/>
    </xf>
    <xf numFmtId="0" fontId="43" fillId="0" borderId="35" xfId="0" applyNumberFormat="1" applyFont="1" applyBorder="1" applyAlignment="1">
      <alignment horizontal="left"/>
    </xf>
    <xf numFmtId="3" fontId="41" fillId="0" borderId="0" xfId="0" applyNumberFormat="1" applyFont="1" applyAlignment="1">
      <alignment vertical="center"/>
    </xf>
    <xf numFmtId="0" fontId="2" fillId="0" borderId="0" xfId="0" applyFont="1" applyAlignment="1">
      <alignment horizontal="left"/>
    </xf>
    <xf numFmtId="0" fontId="5" fillId="0" borderId="0" xfId="0" applyFont="1" applyAlignment="1">
      <alignment horizontal="right" vertical="center"/>
    </xf>
    <xf numFmtId="166" fontId="41" fillId="0" borderId="0" xfId="63" applyNumberFormat="1" applyFont="1" applyBorder="1" applyAlignment="1">
      <alignment vertical="center" readingOrder="1"/>
    </xf>
    <xf numFmtId="0" fontId="43" fillId="0" borderId="35" xfId="0" applyFont="1" applyBorder="1" applyAlignment="1">
      <alignment horizontal="left"/>
    </xf>
    <xf numFmtId="0" fontId="5" fillId="0" borderId="0" xfId="0" applyFont="1" applyAlignment="1">
      <alignment horizontal="right"/>
    </xf>
    <xf numFmtId="0" fontId="42" fillId="0" borderId="0" xfId="0" applyFont="1" applyAlignment="1">
      <alignment horizontal="center"/>
    </xf>
    <xf numFmtId="184" fontId="41" fillId="0" borderId="0" xfId="94" applyNumberFormat="1" applyFont="1" applyAlignment="1">
      <alignment horizontal="center"/>
    </xf>
    <xf numFmtId="0" fontId="12" fillId="0" borderId="0" xfId="0" applyFont="1" applyAlignment="1">
      <alignment horizontal="right"/>
    </xf>
    <xf numFmtId="0" fontId="44" fillId="0" borderId="0" xfId="0" applyFont="1" applyAlignment="1">
      <alignment horizontal="center"/>
    </xf>
    <xf numFmtId="10" fontId="45" fillId="0" borderId="63" xfId="94" applyNumberFormat="1" applyFont="1" applyBorder="1" applyAlignment="1">
      <alignment horizontal="center"/>
    </xf>
    <xf numFmtId="0" fontId="2" fillId="0" borderId="0" xfId="0" applyFont="1" applyBorder="1" applyAlignment="1">
      <alignment horizontal="right"/>
    </xf>
    <xf numFmtId="3" fontId="46" fillId="0" borderId="0" xfId="0" applyNumberFormat="1" applyFont="1" applyBorder="1" applyAlignment="1">
      <alignment horizontal="left"/>
    </xf>
    <xf numFmtId="0" fontId="46" fillId="0" borderId="10" xfId="0" applyFont="1" applyBorder="1" applyAlignment="1">
      <alignment horizontal="right"/>
    </xf>
    <xf numFmtId="0" fontId="2" fillId="0" borderId="0" xfId="0" applyFont="1" applyAlignment="1">
      <alignment horizontal="right"/>
    </xf>
    <xf numFmtId="0" fontId="46" fillId="0" borderId="0" xfId="0" applyFont="1" applyBorder="1" applyAlignment="1">
      <alignment horizontal="left"/>
    </xf>
    <xf numFmtId="10" fontId="2" fillId="0" borderId="0" xfId="94" applyNumberFormat="1" applyFont="1" applyBorder="1" applyAlignment="1">
      <alignment horizontal="left"/>
    </xf>
    <xf numFmtId="10" fontId="2" fillId="0" borderId="0" xfId="0" applyNumberFormat="1" applyFont="1" applyAlignment="1">
      <alignment/>
    </xf>
    <xf numFmtId="3" fontId="0" fillId="4" borderId="50" xfId="0" applyNumberFormat="1" applyFill="1" applyBorder="1" applyAlignment="1" applyProtection="1">
      <alignment/>
      <protection locked="0"/>
    </xf>
    <xf numFmtId="3" fontId="0" fillId="4" borderId="18" xfId="0" applyNumberFormat="1" applyFill="1" applyBorder="1" applyAlignment="1">
      <alignment/>
    </xf>
    <xf numFmtId="3" fontId="0" fillId="4" borderId="18" xfId="0" applyNumberFormat="1" applyFill="1" applyBorder="1" applyAlignment="1" applyProtection="1">
      <alignment/>
      <protection locked="0"/>
    </xf>
    <xf numFmtId="3" fontId="0" fillId="0" borderId="40" xfId="0" applyNumberFormat="1" applyBorder="1" applyAlignment="1">
      <alignment/>
    </xf>
    <xf numFmtId="189" fontId="0" fillId="4" borderId="18" xfId="0" applyNumberFormat="1" applyFill="1" applyBorder="1" applyAlignment="1">
      <alignment/>
    </xf>
    <xf numFmtId="3" fontId="0" fillId="0" borderId="18" xfId="0" applyNumberFormat="1" applyFill="1" applyBorder="1" applyAlignment="1" applyProtection="1">
      <alignment/>
      <protection locked="0"/>
    </xf>
    <xf numFmtId="10" fontId="1" fillId="0" borderId="18" xfId="0" applyNumberFormat="1" applyFont="1" applyFill="1" applyBorder="1" applyAlignment="1">
      <alignment/>
    </xf>
    <xf numFmtId="0" fontId="3" fillId="0" borderId="48" xfId="0" applyFont="1" applyFill="1" applyBorder="1" applyAlignment="1">
      <alignment/>
    </xf>
    <xf numFmtId="3" fontId="0" fillId="0" borderId="55" xfId="0" applyNumberFormat="1" applyFill="1" applyBorder="1" applyAlignment="1">
      <alignment/>
    </xf>
    <xf numFmtId="3" fontId="0" fillId="0" borderId="56" xfId="0" applyNumberFormat="1" applyFill="1" applyBorder="1" applyAlignment="1">
      <alignment/>
    </xf>
    <xf numFmtId="0" fontId="2" fillId="0" borderId="0" xfId="0" applyFont="1" applyAlignment="1">
      <alignment horizontal="left" vertical="top" wrapText="1"/>
    </xf>
    <xf numFmtId="0" fontId="47" fillId="0" borderId="64" xfId="0" applyFont="1" applyBorder="1" applyAlignment="1">
      <alignment horizontal="left" wrapText="1"/>
    </xf>
    <xf numFmtId="0" fontId="47" fillId="0" borderId="65" xfId="0" applyFont="1" applyBorder="1" applyAlignment="1">
      <alignment horizontal="left" wrapText="1"/>
    </xf>
    <xf numFmtId="0" fontId="48" fillId="0" borderId="0" xfId="0" applyFont="1" applyAlignment="1">
      <alignment horizontal="center"/>
    </xf>
    <xf numFmtId="0" fontId="49" fillId="0" borderId="0" xfId="0" applyFont="1" applyAlignment="1">
      <alignment horizontal="left" vertical="top"/>
    </xf>
    <xf numFmtId="0" fontId="49" fillId="0" borderId="0" xfId="0" applyFont="1" applyAlignment="1">
      <alignment vertical="top"/>
    </xf>
    <xf numFmtId="0" fontId="0" fillId="0" borderId="0" xfId="0" applyFont="1" applyAlignment="1">
      <alignment vertical="center"/>
    </xf>
    <xf numFmtId="166" fontId="0" fillId="0" borderId="0" xfId="63" applyNumberFormat="1" applyFont="1" applyAlignment="1">
      <alignment horizontal="right" vertical="center"/>
    </xf>
    <xf numFmtId="0" fontId="0" fillId="0" borderId="0" xfId="0" applyFont="1" applyAlignment="1">
      <alignment horizontal="center" vertical="center"/>
    </xf>
    <xf numFmtId="166" fontId="0" fillId="0" borderId="0" xfId="63" applyNumberFormat="1" applyFont="1" applyAlignment="1">
      <alignment horizontal="center" vertical="center"/>
    </xf>
    <xf numFmtId="0" fontId="41" fillId="0" borderId="35" xfId="0" applyFont="1" applyBorder="1" applyAlignment="1">
      <alignment vertical="center"/>
    </xf>
    <xf numFmtId="0" fontId="0" fillId="0" borderId="0" xfId="0" applyAlignment="1">
      <alignment vertical="center"/>
    </xf>
    <xf numFmtId="0" fontId="46" fillId="0" borderId="66" xfId="0" applyFont="1" applyBorder="1" applyAlignment="1">
      <alignment horizontal="right"/>
    </xf>
    <xf numFmtId="166" fontId="0" fillId="0" borderId="0" xfId="63" applyNumberFormat="1" applyFont="1" applyAlignment="1">
      <alignment horizontal="center"/>
    </xf>
    <xf numFmtId="166" fontId="49" fillId="0" borderId="0" xfId="63" applyNumberFormat="1" applyFont="1" applyAlignment="1">
      <alignment horizontal="center" vertical="top"/>
    </xf>
    <xf numFmtId="0" fontId="36" fillId="0" borderId="0" xfId="0" applyFont="1" applyAlignment="1">
      <alignment/>
    </xf>
    <xf numFmtId="184" fontId="36" fillId="0" borderId="0" xfId="0" applyNumberFormat="1" applyFont="1" applyAlignment="1">
      <alignment horizontal="center"/>
    </xf>
    <xf numFmtId="10" fontId="1" fillId="0" borderId="63" xfId="94" applyNumberFormat="1" applyFont="1" applyBorder="1" applyAlignment="1">
      <alignment horizontal="center"/>
    </xf>
    <xf numFmtId="0" fontId="36" fillId="0" borderId="0" xfId="0" applyFont="1" applyAlignment="1">
      <alignment horizontal="left"/>
    </xf>
    <xf numFmtId="3" fontId="2" fillId="0" borderId="0" xfId="0" applyNumberFormat="1" applyFont="1" applyBorder="1" applyAlignment="1">
      <alignment horizontal="left"/>
    </xf>
    <xf numFmtId="0" fontId="36" fillId="0" borderId="0" xfId="0" applyFont="1" applyBorder="1" applyAlignment="1">
      <alignment/>
    </xf>
    <xf numFmtId="3" fontId="0" fillId="7" borderId="50" xfId="0" applyNumberFormat="1" applyFill="1" applyBorder="1" applyAlignment="1" applyProtection="1">
      <alignment/>
      <protection locked="0"/>
    </xf>
    <xf numFmtId="3" fontId="0" fillId="0" borderId="18" xfId="0" applyNumberFormat="1" applyBorder="1" applyAlignment="1" applyProtection="1">
      <alignment/>
      <protection locked="0"/>
    </xf>
    <xf numFmtId="1" fontId="0" fillId="7" borderId="18" xfId="0" applyNumberFormat="1" applyFill="1" applyBorder="1" applyAlignment="1" applyProtection="1">
      <alignment/>
      <protection locked="0"/>
    </xf>
    <xf numFmtId="3" fontId="0" fillId="7" borderId="18" xfId="0" applyNumberFormat="1" applyFill="1" applyBorder="1" applyAlignment="1" applyProtection="1">
      <alignment/>
      <protection locked="0"/>
    </xf>
    <xf numFmtId="189" fontId="0" fillId="7" borderId="18" xfId="0" applyNumberFormat="1" applyFill="1" applyBorder="1" applyAlignment="1" applyProtection="1">
      <alignment/>
      <protection locked="0"/>
    </xf>
    <xf numFmtId="3" fontId="0" fillId="7" borderId="18" xfId="0" applyNumberFormat="1" applyFill="1" applyBorder="1" applyAlignment="1">
      <alignment/>
    </xf>
    <xf numFmtId="0" fontId="0" fillId="7" borderId="18" xfId="0" applyFill="1" applyBorder="1" applyAlignment="1" applyProtection="1">
      <alignment/>
      <protection locked="0"/>
    </xf>
    <xf numFmtId="10" fontId="1" fillId="0" borderId="18" xfId="94" applyNumberFormat="1" applyFont="1" applyBorder="1" applyAlignment="1">
      <alignment/>
    </xf>
    <xf numFmtId="192" fontId="0" fillId="0" borderId="0" xfId="94" applyNumberFormat="1" applyFill="1" applyBorder="1" applyAlignment="1">
      <alignment/>
    </xf>
    <xf numFmtId="0" fontId="0" fillId="0" borderId="55" xfId="0" applyBorder="1" applyAlignment="1">
      <alignment/>
    </xf>
    <xf numFmtId="0" fontId="0" fillId="0" borderId="56" xfId="0" applyBorder="1" applyAlignment="1">
      <alignment/>
    </xf>
    <xf numFmtId="0" fontId="35" fillId="0" borderId="0" xfId="0" applyFont="1" applyAlignment="1">
      <alignment horizontal="right" vertical="center" wrapText="1"/>
    </xf>
    <xf numFmtId="0" fontId="35" fillId="0" borderId="0" xfId="0" applyFont="1" applyAlignment="1">
      <alignment horizontal="left" vertical="center" wrapText="1"/>
    </xf>
    <xf numFmtId="184" fontId="41" fillId="0" borderId="0" xfId="94" applyNumberFormat="1" applyFont="1" applyAlignment="1">
      <alignment/>
    </xf>
    <xf numFmtId="10" fontId="45" fillId="0" borderId="63" xfId="94" applyNumberFormat="1" applyFont="1" applyBorder="1" applyAlignment="1">
      <alignment/>
    </xf>
    <xf numFmtId="0" fontId="2" fillId="0" borderId="0" xfId="0" applyFont="1" applyBorder="1" applyAlignment="1">
      <alignment/>
    </xf>
    <xf numFmtId="3" fontId="46" fillId="0" borderId="0" xfId="0" applyNumberFormat="1" applyFont="1" applyAlignment="1">
      <alignment horizontal="left"/>
    </xf>
    <xf numFmtId="0" fontId="41" fillId="0" borderId="0" xfId="0" applyFont="1" applyAlignment="1">
      <alignment horizontal="right" vertical="center"/>
    </xf>
    <xf numFmtId="166" fontId="41" fillId="0" borderId="0" xfId="63" applyNumberFormat="1" applyFont="1" applyAlignment="1">
      <alignment horizontal="right" vertical="center"/>
    </xf>
    <xf numFmtId="0" fontId="5" fillId="0" borderId="0" xfId="0" applyFont="1" applyBorder="1" applyAlignment="1">
      <alignment horizontal="left" vertical="center"/>
    </xf>
    <xf numFmtId="184" fontId="2" fillId="0" borderId="0" xfId="0" applyNumberFormat="1" applyFont="1" applyBorder="1" applyAlignment="1">
      <alignment horizontal="center" vertical="center"/>
    </xf>
    <xf numFmtId="0" fontId="35" fillId="0" borderId="0" xfId="0" applyFont="1" applyAlignment="1">
      <alignment horizontal="left" vertical="top" wrapText="1"/>
    </xf>
    <xf numFmtId="0" fontId="36" fillId="0" borderId="0" xfId="0" applyFont="1" applyAlignment="1">
      <alignment horizontal="left" vertical="top" wrapText="1"/>
    </xf>
    <xf numFmtId="0" fontId="35" fillId="0" borderId="0" xfId="0" applyFont="1" applyAlignment="1" applyProtection="1">
      <alignment horizontal="left" vertical="center"/>
      <protection locked="0"/>
    </xf>
    <xf numFmtId="3" fontId="41" fillId="0" borderId="0" xfId="0" applyNumberFormat="1" applyFont="1" applyAlignment="1" applyProtection="1">
      <alignment vertical="center"/>
      <protection locked="0"/>
    </xf>
    <xf numFmtId="0" fontId="2" fillId="0" borderId="49" xfId="0" applyFont="1" applyBorder="1" applyAlignment="1">
      <alignment horizontal="center"/>
    </xf>
    <xf numFmtId="0" fontId="35" fillId="0" borderId="0" xfId="0" applyFont="1" applyAlignment="1">
      <alignment horizontal="left" vertical="center"/>
    </xf>
    <xf numFmtId="0" fontId="41" fillId="0" borderId="0" xfId="0" applyFont="1" applyAlignment="1" applyProtection="1">
      <alignment horizontal="right" vertical="center"/>
      <protection locked="0"/>
    </xf>
    <xf numFmtId="197" fontId="35" fillId="0" borderId="0" xfId="0" applyNumberFormat="1" applyFont="1" applyAlignment="1">
      <alignment horizontal="left"/>
    </xf>
    <xf numFmtId="0" fontId="41" fillId="0" borderId="0" xfId="0" applyFont="1" applyAlignment="1" applyProtection="1">
      <alignment vertical="center"/>
      <protection locked="0"/>
    </xf>
    <xf numFmtId="0" fontId="41" fillId="0" borderId="0" xfId="0" applyFont="1" applyAlignment="1">
      <alignment vertical="center"/>
    </xf>
    <xf numFmtId="0" fontId="42" fillId="0" borderId="0" xfId="0" applyFont="1" applyAlignment="1">
      <alignment horizontal="center" vertical="center"/>
    </xf>
    <xf numFmtId="10" fontId="1" fillId="0" borderId="0" xfId="94" applyNumberFormat="1" applyFont="1" applyBorder="1" applyAlignment="1">
      <alignment horizontal="center"/>
    </xf>
    <xf numFmtId="0" fontId="35" fillId="0" borderId="0" xfId="0" applyFont="1" applyBorder="1" applyAlignment="1">
      <alignment horizontal="left"/>
    </xf>
    <xf numFmtId="0" fontId="2" fillId="0" borderId="0" xfId="0" applyFont="1" applyAlignment="1">
      <alignment horizontal="left"/>
    </xf>
    <xf numFmtId="0" fontId="12" fillId="0" borderId="0" xfId="0" applyFont="1" applyAlignment="1">
      <alignment/>
    </xf>
    <xf numFmtId="0" fontId="5" fillId="0" borderId="0" xfId="0" applyFont="1" applyAlignment="1">
      <alignment/>
    </xf>
    <xf numFmtId="0" fontId="2" fillId="0" borderId="0" xfId="0" applyFont="1" applyBorder="1" applyAlignment="1">
      <alignment horizontal="left" vertical="top" wrapText="1"/>
    </xf>
    <xf numFmtId="0" fontId="39" fillId="0" borderId="48" xfId="0" applyFont="1" applyBorder="1" applyAlignment="1">
      <alignment horizontal="left"/>
    </xf>
    <xf numFmtId="0" fontId="39" fillId="0" borderId="49" xfId="0" applyFont="1" applyBorder="1" applyAlignment="1">
      <alignment horizontal="left"/>
    </xf>
    <xf numFmtId="0" fontId="39" fillId="0" borderId="50" xfId="0" applyFont="1"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0" fillId="0" borderId="12" xfId="0" applyFill="1" applyBorder="1" applyAlignment="1">
      <alignment horizontal="left"/>
    </xf>
    <xf numFmtId="0" fontId="0" fillId="0" borderId="0" xfId="0" applyFill="1" applyBorder="1" applyAlignment="1">
      <alignment horizontal="left"/>
    </xf>
    <xf numFmtId="0" fontId="0" fillId="0" borderId="18" xfId="0" applyFill="1" applyBorder="1" applyAlignment="1">
      <alignment horizontal="left"/>
    </xf>
    <xf numFmtId="0" fontId="0" fillId="0" borderId="12"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47" xfId="0" applyFill="1" applyBorder="1" applyAlignment="1">
      <alignment horizontal="center"/>
    </xf>
    <xf numFmtId="0" fontId="0" fillId="0" borderId="35" xfId="0" applyFill="1" applyBorder="1" applyAlignment="1">
      <alignment horizontal="center"/>
    </xf>
    <xf numFmtId="0" fontId="0" fillId="0" borderId="51" xfId="0" applyFill="1" applyBorder="1" applyAlignment="1">
      <alignment horizontal="center"/>
    </xf>
    <xf numFmtId="0" fontId="42" fillId="0" borderId="0" xfId="0" applyFont="1" applyAlignment="1" applyProtection="1">
      <alignment horizontal="center" vertical="center"/>
      <protection locked="0"/>
    </xf>
    <xf numFmtId="0" fontId="5" fillId="0" borderId="49" xfId="0" applyFont="1" applyBorder="1" applyAlignment="1">
      <alignment horizontal="center"/>
    </xf>
    <xf numFmtId="0" fontId="41" fillId="0" borderId="0" xfId="0" applyFont="1" applyBorder="1" applyAlignment="1">
      <alignment horizontal="center" vertical="center"/>
    </xf>
    <xf numFmtId="0" fontId="35" fillId="0" borderId="0" xfId="0" applyFont="1" applyAlignment="1">
      <alignment horizontal="left"/>
    </xf>
    <xf numFmtId="0" fontId="5" fillId="0" borderId="0" xfId="0" applyFont="1" applyAlignment="1">
      <alignment horizontal="center"/>
    </xf>
    <xf numFmtId="184" fontId="2" fillId="0" borderId="0" xfId="0" applyNumberFormat="1" applyFont="1" applyAlignment="1">
      <alignment horizontal="right"/>
    </xf>
    <xf numFmtId="198" fontId="41" fillId="0" borderId="0" xfId="0" applyNumberFormat="1" applyFont="1" applyAlignment="1">
      <alignment horizontal="center" vertical="center"/>
    </xf>
    <xf numFmtId="3" fontId="41" fillId="0" borderId="0" xfId="0" applyNumberFormat="1" applyFont="1" applyBorder="1" applyAlignment="1">
      <alignment horizontal="left" vertical="center"/>
    </xf>
    <xf numFmtId="166" fontId="2" fillId="0" borderId="14" xfId="63" applyNumberFormat="1" applyFont="1" applyBorder="1" applyAlignment="1">
      <alignment horizontal="center" wrapText="1"/>
    </xf>
    <xf numFmtId="0" fontId="36" fillId="0" borderId="36" xfId="0" applyFont="1" applyBorder="1" applyAlignment="1">
      <alignment horizontal="center" vertical="center" wrapText="1"/>
    </xf>
    <xf numFmtId="0" fontId="36" fillId="0" borderId="66"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65" xfId="0" applyFont="1" applyBorder="1" applyAlignment="1">
      <alignment horizontal="center" vertical="center" wrapText="1"/>
    </xf>
    <xf numFmtId="166" fontId="2" fillId="0" borderId="66" xfId="63" applyNumberFormat="1" applyFont="1" applyBorder="1" applyAlignment="1">
      <alignment horizontal="center" wrapText="1"/>
    </xf>
    <xf numFmtId="166" fontId="2" fillId="0" borderId="10" xfId="63" applyNumberFormat="1" applyFont="1" applyBorder="1" applyAlignment="1">
      <alignment horizontal="center" wrapText="1"/>
    </xf>
    <xf numFmtId="166" fontId="2" fillId="0" borderId="65" xfId="63" applyNumberFormat="1" applyFont="1" applyBorder="1" applyAlignment="1">
      <alignment horizontal="center" wrapText="1"/>
    </xf>
    <xf numFmtId="166" fontId="2" fillId="0" borderId="66" xfId="63" applyNumberFormat="1" applyFont="1" applyBorder="1" applyAlignment="1">
      <alignment horizontal="right" wrapText="1"/>
    </xf>
    <xf numFmtId="166" fontId="2" fillId="0" borderId="10" xfId="63" applyNumberFormat="1" applyFont="1" applyBorder="1" applyAlignment="1">
      <alignment horizontal="right" wrapText="1"/>
    </xf>
    <xf numFmtId="166" fontId="2" fillId="0" borderId="65" xfId="63" applyNumberFormat="1" applyFont="1" applyBorder="1" applyAlignment="1">
      <alignment horizontal="right" wrapText="1"/>
    </xf>
    <xf numFmtId="3" fontId="0" fillId="0" borderId="0" xfId="0" applyNumberFormat="1" applyAlignment="1">
      <alignment horizontal="right" vertical="justify" wrapText="1" readingOrder="1"/>
    </xf>
    <xf numFmtId="0" fontId="0" fillId="0" borderId="0" xfId="0" applyAlignment="1">
      <alignment horizontal="right" vertical="justify" wrapText="1" readingOrder="1"/>
    </xf>
    <xf numFmtId="0" fontId="36" fillId="0" borderId="0" xfId="0" applyFont="1" applyAlignment="1">
      <alignment horizontal="right"/>
    </xf>
    <xf numFmtId="0" fontId="46" fillId="0" borderId="33" xfId="0" applyFont="1" applyBorder="1" applyAlignment="1">
      <alignment horizontal="right"/>
    </xf>
    <xf numFmtId="0" fontId="46" fillId="0" borderId="36" xfId="0" applyFont="1" applyBorder="1" applyAlignment="1">
      <alignment horizontal="right"/>
    </xf>
    <xf numFmtId="3" fontId="2" fillId="0" borderId="14" xfId="0" applyNumberFormat="1" applyFont="1" applyBorder="1" applyAlignment="1">
      <alignment horizontal="right" wrapText="1"/>
    </xf>
    <xf numFmtId="0" fontId="2" fillId="0" borderId="0" xfId="0" applyFont="1" applyAlignment="1">
      <alignment horizontal="left" vertical="top" wrapText="1"/>
    </xf>
    <xf numFmtId="3" fontId="2" fillId="0" borderId="14" xfId="0" applyNumberFormat="1" applyFont="1" applyBorder="1" applyAlignment="1">
      <alignment horizontal="right"/>
    </xf>
    <xf numFmtId="0" fontId="36" fillId="0" borderId="0" xfId="0" applyFont="1" applyAlignment="1">
      <alignment horizontal="left"/>
    </xf>
    <xf numFmtId="0" fontId="2" fillId="0" borderId="0" xfId="0" applyFont="1" applyBorder="1" applyAlignment="1">
      <alignment horizontal="right"/>
    </xf>
    <xf numFmtId="0" fontId="1" fillId="0" borderId="0" xfId="0" applyFont="1" applyAlignment="1">
      <alignment horizontal="right"/>
    </xf>
    <xf numFmtId="0" fontId="2" fillId="0" borderId="0" xfId="0" applyFont="1" applyAlignment="1">
      <alignment horizontal="center"/>
    </xf>
    <xf numFmtId="0" fontId="1" fillId="0" borderId="0" xfId="0" applyFont="1" applyAlignment="1">
      <alignment horizontal="left" vertical="top" wrapText="1"/>
    </xf>
    <xf numFmtId="0" fontId="36" fillId="0" borderId="66"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65" xfId="0" applyFont="1" applyBorder="1" applyAlignment="1">
      <alignment horizontal="center" vertical="center" wrapText="1"/>
    </xf>
    <xf numFmtId="0" fontId="0" fillId="0" borderId="12" xfId="0" applyBorder="1" applyAlignment="1">
      <alignment/>
    </xf>
    <xf numFmtId="0" fontId="0" fillId="0" borderId="0" xfId="0" applyBorder="1" applyAlignment="1">
      <alignment/>
    </xf>
    <xf numFmtId="0" fontId="0" fillId="0" borderId="12" xfId="0" applyFill="1" applyBorder="1" applyAlignment="1">
      <alignment horizontal="center"/>
    </xf>
    <xf numFmtId="0" fontId="0" fillId="0" borderId="0" xfId="0" applyFill="1" applyBorder="1" applyAlignment="1">
      <alignment horizontal="center"/>
    </xf>
    <xf numFmtId="0" fontId="0" fillId="0" borderId="18" xfId="0" applyFill="1" applyBorder="1" applyAlignment="1">
      <alignment horizontal="center"/>
    </xf>
    <xf numFmtId="10" fontId="2" fillId="0" borderId="0" xfId="94" applyNumberFormat="1" applyFont="1" applyBorder="1" applyAlignment="1">
      <alignment horizontal="left"/>
    </xf>
    <xf numFmtId="184" fontId="2" fillId="0" borderId="0" xfId="94" applyNumberFormat="1" applyFont="1" applyBorder="1" applyAlignment="1">
      <alignment horizontal="right"/>
    </xf>
    <xf numFmtId="0" fontId="35" fillId="0" borderId="0" xfId="0" applyFont="1" applyAlignment="1">
      <alignment horizontal="left" vertical="center" wrapText="1"/>
    </xf>
    <xf numFmtId="0" fontId="41" fillId="0" borderId="0" xfId="0" applyFont="1" applyAlignment="1">
      <alignment horizontal="left" vertical="center" wrapText="1"/>
    </xf>
    <xf numFmtId="0" fontId="5" fillId="0" borderId="0" xfId="0" applyFont="1" applyAlignment="1">
      <alignment horizontal="center" vertical="center"/>
    </xf>
    <xf numFmtId="0" fontId="2" fillId="0" borderId="0" xfId="0" applyFont="1" applyAlignment="1" applyProtection="1">
      <alignment horizontal="left" vertical="center"/>
      <protection locked="0"/>
    </xf>
    <xf numFmtId="0" fontId="34" fillId="0" borderId="0" xfId="0" applyFont="1" applyAlignment="1">
      <alignment horizontal="center" vertical="center"/>
    </xf>
    <xf numFmtId="0" fontId="43" fillId="0" borderId="0" xfId="0" applyFont="1" applyAlignment="1">
      <alignment horizontal="left" vertical="top"/>
    </xf>
    <xf numFmtId="0" fontId="41" fillId="0" borderId="0" xfId="0" applyFont="1" applyAlignment="1">
      <alignment horizontal="center" vertical="center"/>
    </xf>
    <xf numFmtId="3" fontId="35" fillId="0" borderId="0" xfId="0" applyNumberFormat="1" applyFont="1" applyAlignment="1">
      <alignment horizontal="center" vertical="center" wrapText="1"/>
    </xf>
    <xf numFmtId="0" fontId="35" fillId="0" borderId="0" xfId="0" applyFont="1" applyAlignment="1">
      <alignment horizontal="center" vertical="center" wrapText="1"/>
    </xf>
    <xf numFmtId="3" fontId="35" fillId="0" borderId="0" xfId="63" applyNumberFormat="1" applyFont="1" applyAlignment="1">
      <alignment horizontal="center" vertical="center" wrapText="1"/>
    </xf>
    <xf numFmtId="0" fontId="50" fillId="0" borderId="0" xfId="0" applyFont="1" applyAlignment="1">
      <alignment horizontal="center" vertical="top"/>
    </xf>
    <xf numFmtId="49" fontId="51" fillId="0" borderId="0" xfId="0" applyNumberFormat="1" applyFont="1" applyAlignment="1">
      <alignment horizontal="left" vertical="top"/>
    </xf>
    <xf numFmtId="3" fontId="41" fillId="0" borderId="0" xfId="0" applyNumberFormat="1" applyFont="1" applyAlignment="1">
      <alignment horizontal="center" vertical="center"/>
    </xf>
    <xf numFmtId="0" fontId="0" fillId="23" borderId="0"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0" fillId="0" borderId="50" xfId="0" applyFill="1" applyBorder="1" applyAlignment="1">
      <alignment horizontal="center"/>
    </xf>
    <xf numFmtId="49" fontId="0" fillId="0" borderId="35" xfId="0" applyNumberFormat="1" applyFill="1" applyBorder="1" applyAlignment="1">
      <alignment horizontal="center"/>
    </xf>
    <xf numFmtId="49" fontId="0" fillId="0" borderId="51" xfId="0" applyNumberFormat="1" applyFill="1" applyBorder="1" applyAlignment="1">
      <alignment horizontal="center"/>
    </xf>
    <xf numFmtId="0" fontId="0" fillId="0" borderId="49" xfId="0" applyBorder="1" applyAlignment="1">
      <alignment horizontal="center"/>
    </xf>
    <xf numFmtId="0" fontId="5" fillId="0" borderId="35" xfId="0" applyFont="1" applyBorder="1" applyAlignment="1">
      <alignment horizontal="center"/>
    </xf>
    <xf numFmtId="0" fontId="0" fillId="0" borderId="35" xfId="0" applyBorder="1" applyAlignment="1">
      <alignment horizontal="center"/>
    </xf>
    <xf numFmtId="166" fontId="0" fillId="24" borderId="0" xfId="63" applyNumberFormat="1" applyFill="1" applyAlignment="1">
      <alignment/>
    </xf>
    <xf numFmtId="0" fontId="0" fillId="0" borderId="0" xfId="0" applyAlignment="1">
      <alignment horizontal="center"/>
    </xf>
    <xf numFmtId="166" fontId="0" fillId="24" borderId="0" xfId="63" applyNumberFormat="1" applyFill="1" applyAlignment="1">
      <alignment horizontal="center"/>
    </xf>
    <xf numFmtId="9" fontId="3" fillId="24" borderId="0" xfId="0" applyNumberFormat="1" applyFont="1" applyFill="1" applyAlignment="1">
      <alignment/>
    </xf>
    <xf numFmtId="0" fontId="0" fillId="0" borderId="0" xfId="0" applyAlignment="1">
      <alignment/>
    </xf>
    <xf numFmtId="0" fontId="12" fillId="0" borderId="0" xfId="0" applyFont="1" applyAlignment="1">
      <alignment horizontal="center"/>
    </xf>
    <xf numFmtId="166" fontId="0" fillId="0" borderId="34" xfId="63" applyNumberFormat="1" applyFont="1" applyBorder="1" applyAlignment="1">
      <alignment horizontal="center"/>
    </xf>
    <xf numFmtId="166" fontId="0" fillId="0" borderId="67" xfId="63" applyNumberFormat="1" applyBorder="1" applyAlignment="1">
      <alignment horizontal="center"/>
    </xf>
    <xf numFmtId="0" fontId="0" fillId="0" borderId="35" xfId="0" applyBorder="1" applyAlignment="1">
      <alignment/>
    </xf>
    <xf numFmtId="0" fontId="3" fillId="0" borderId="0" xfId="0" applyFont="1" applyAlignment="1">
      <alignment/>
    </xf>
    <xf numFmtId="166" fontId="0" fillId="0" borderId="33" xfId="63" applyNumberFormat="1" applyFont="1" applyBorder="1" applyAlignment="1">
      <alignment horizontal="center"/>
    </xf>
    <xf numFmtId="166" fontId="0" fillId="0" borderId="64" xfId="63" applyNumberFormat="1" applyBorder="1" applyAlignment="1">
      <alignment horizontal="center"/>
    </xf>
    <xf numFmtId="166" fontId="0" fillId="0" borderId="38" xfId="63" applyNumberFormat="1" applyFont="1" applyBorder="1" applyAlignment="1">
      <alignment horizontal="center"/>
    </xf>
    <xf numFmtId="166" fontId="0" fillId="0" borderId="68" xfId="63" applyNumberFormat="1" applyBorder="1" applyAlignment="1">
      <alignment horizontal="center"/>
    </xf>
    <xf numFmtId="166" fontId="0" fillId="24" borderId="38" xfId="63" applyNumberFormat="1" applyFont="1" applyFill="1" applyBorder="1" applyAlignment="1">
      <alignment horizontal="center"/>
    </xf>
    <xf numFmtId="166" fontId="0" fillId="24" borderId="68" xfId="63" applyNumberFormat="1" applyFill="1" applyBorder="1" applyAlignment="1">
      <alignment horizontal="center"/>
    </xf>
    <xf numFmtId="0" fontId="2" fillId="0" borderId="0" xfId="0" applyFont="1" applyAlignment="1">
      <alignment horizontal="left" wrapText="1"/>
    </xf>
    <xf numFmtId="0" fontId="0" fillId="0" borderId="0" xfId="0" applyAlignment="1">
      <alignment horizontal="center" vertical="center"/>
    </xf>
    <xf numFmtId="166" fontId="2" fillId="0" borderId="0" xfId="63" applyNumberFormat="1" applyFont="1" applyAlignment="1">
      <alignment horizontal="center" vertical="center"/>
    </xf>
    <xf numFmtId="0" fontId="5" fillId="0" borderId="0" xfId="0" applyFont="1" applyAlignment="1">
      <alignment horizontal="center"/>
    </xf>
    <xf numFmtId="0" fontId="2" fillId="0" borderId="0" xfId="0" applyFont="1" applyAlignment="1">
      <alignment/>
    </xf>
  </cellXfs>
  <cellStyles count="87">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20% - Accent1" xfId="21"/>
    <cellStyle name="20% - Accent2" xfId="22"/>
    <cellStyle name="20% - Accent3" xfId="23"/>
    <cellStyle name="20% - Accent4" xfId="24"/>
    <cellStyle name="20% - Accent5" xfId="25"/>
    <cellStyle name="20% - Accent6" xfId="26"/>
    <cellStyle name="40 % - Markeringsfarve1" xfId="27"/>
    <cellStyle name="40 % - Markeringsfarve2" xfId="28"/>
    <cellStyle name="40 % - Markeringsfarve3" xfId="29"/>
    <cellStyle name="40 % - Markeringsfarve4" xfId="30"/>
    <cellStyle name="40 % - Markeringsfarve5" xfId="31"/>
    <cellStyle name="40 % - Markeringsfarve6" xfId="32"/>
    <cellStyle name="40% - Accent1" xfId="33"/>
    <cellStyle name="40% - Accent2" xfId="34"/>
    <cellStyle name="40% - Accent3" xfId="35"/>
    <cellStyle name="40% - Accent4" xfId="36"/>
    <cellStyle name="40% - Accent5" xfId="37"/>
    <cellStyle name="40% - Accent6" xfId="38"/>
    <cellStyle name="60 % - Markeringsfarve1" xfId="39"/>
    <cellStyle name="60 % - Markeringsfarve2" xfId="40"/>
    <cellStyle name="60 % - Markeringsfarve3" xfId="41"/>
    <cellStyle name="60 % - Markeringsfarve4" xfId="42"/>
    <cellStyle name="60 % - Markeringsfarve5" xfId="43"/>
    <cellStyle name="60 % - Markeringsfarv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dvarselstekst" xfId="57"/>
    <cellStyle name="Bad" xfId="58"/>
    <cellStyle name="Bemærk!" xfId="59"/>
    <cellStyle name="Beregning" xfId="60"/>
    <cellStyle name="Calculation" xfId="61"/>
    <cellStyle name="Check Cell" xfId="62"/>
    <cellStyle name="Comma" xfId="63"/>
    <cellStyle name="Comma [0]" xfId="64"/>
    <cellStyle name="Currency" xfId="65"/>
    <cellStyle name="Currency [0]" xfId="66"/>
    <cellStyle name="Explanatory Text" xfId="67"/>
    <cellStyle name="Followed Hyperlink" xfId="68"/>
    <cellStyle name="Forklarende tekst" xfId="69"/>
    <cellStyle name="God" xfId="70"/>
    <cellStyle name="Good" xfId="71"/>
    <cellStyle name="Heading 1" xfId="72"/>
    <cellStyle name="Heading 2" xfId="73"/>
    <cellStyle name="Heading 3" xfId="74"/>
    <cellStyle name="Heading 4" xfId="75"/>
    <cellStyle name="Hyperlink" xfId="76"/>
    <cellStyle name="Input" xfId="77"/>
    <cellStyle name="Kontroller celle" xfId="78"/>
    <cellStyle name="Linked Cell" xfId="79"/>
    <cellStyle name="Markeringsfarve1" xfId="80"/>
    <cellStyle name="Markeringsfarve2" xfId="81"/>
    <cellStyle name="Markeringsfarve3" xfId="82"/>
    <cellStyle name="Markeringsfarve4" xfId="83"/>
    <cellStyle name="Markeringsfarve5" xfId="84"/>
    <cellStyle name="Markeringsfarve6" xfId="85"/>
    <cellStyle name="Neutral" xfId="86"/>
    <cellStyle name="Normal_Opgave 1, 2008" xfId="87"/>
    <cellStyle name="Note" xfId="88"/>
    <cellStyle name="Output" xfId="89"/>
    <cellStyle name="Overskrift 1" xfId="90"/>
    <cellStyle name="Overskrift 2" xfId="91"/>
    <cellStyle name="Overskrift 3" xfId="92"/>
    <cellStyle name="Overskrift 4" xfId="93"/>
    <cellStyle name="Percent" xfId="94"/>
    <cellStyle name="Sammenkædet celle" xfId="95"/>
    <cellStyle name="Titel" xfId="96"/>
    <cellStyle name="Title" xfId="97"/>
    <cellStyle name="Total" xfId="98"/>
    <cellStyle name="Ugyldig" xfId="99"/>
    <cellStyle name="Warning Text" xfId="10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r\Desktop\Investeringsberegn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mmeregneren TI-83"/>
      <sheetName val="investering 50 år"/>
      <sheetName val="Net cash-flow diagram"/>
    </sheetNames>
    <sheetDataSet>
      <sheetData sheetId="0">
        <row r="6">
          <cell r="D6">
            <v>-34066.30625000008</v>
          </cell>
        </row>
        <row r="12">
          <cell r="D12">
            <v>-90199.74448928211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47"/>
  <sheetViews>
    <sheetView tabSelected="1" workbookViewId="0" topLeftCell="A10">
      <selection activeCell="A37" sqref="A37"/>
    </sheetView>
  </sheetViews>
  <sheetFormatPr defaultColWidth="9.140625" defaultRowHeight="12.75"/>
  <cols>
    <col min="1" max="7" width="9.140625" style="202" customWidth="1"/>
    <col min="8" max="8" width="12.00390625" style="202" bestFit="1" customWidth="1"/>
    <col min="9" max="11" width="9.140625" style="199" customWidth="1"/>
    <col min="12" max="12" width="11.8515625" style="199" customWidth="1"/>
    <col min="13" max="16384" width="9.140625" style="199" customWidth="1"/>
  </cols>
  <sheetData>
    <row r="1" spans="1:10" ht="15">
      <c r="A1" s="196"/>
      <c r="B1" s="196" t="s">
        <v>159</v>
      </c>
      <c r="C1" s="196" t="s">
        <v>160</v>
      </c>
      <c r="D1" s="196" t="s">
        <v>161</v>
      </c>
      <c r="E1" s="196" t="s">
        <v>162</v>
      </c>
      <c r="F1" s="196" t="s">
        <v>163</v>
      </c>
      <c r="G1" s="197" t="s">
        <v>164</v>
      </c>
      <c r="H1" s="196" t="s">
        <v>165</v>
      </c>
      <c r="I1" s="198" t="s">
        <v>217</v>
      </c>
      <c r="J1" s="197" t="s">
        <v>166</v>
      </c>
    </row>
    <row r="2" spans="1:15" ht="15">
      <c r="A2" s="196"/>
      <c r="B2" s="196" t="s">
        <v>167</v>
      </c>
      <c r="C2" s="196" t="s">
        <v>168</v>
      </c>
      <c r="D2" s="196" t="s">
        <v>168</v>
      </c>
      <c r="E2" s="196" t="s">
        <v>168</v>
      </c>
      <c r="F2" s="196" t="s">
        <v>168</v>
      </c>
      <c r="G2" s="197" t="s">
        <v>169</v>
      </c>
      <c r="H2" s="196" t="s">
        <v>168</v>
      </c>
      <c r="J2" s="198" t="s">
        <v>170</v>
      </c>
      <c r="L2" s="198"/>
      <c r="O2" s="200"/>
    </row>
    <row r="3" spans="1:15" ht="15">
      <c r="A3" s="196"/>
      <c r="B3" s="196"/>
      <c r="C3" s="196"/>
      <c r="D3" s="196"/>
      <c r="E3" s="196"/>
      <c r="F3" s="196"/>
      <c r="G3" s="197"/>
      <c r="H3" s="201">
        <f>SUM(F4-F3)/(G4-G3)</f>
        <v>1425</v>
      </c>
      <c r="I3" s="199">
        <v>2</v>
      </c>
      <c r="J3" s="202">
        <f>G4</f>
        <v>400</v>
      </c>
      <c r="L3" s="198"/>
      <c r="O3" s="200"/>
    </row>
    <row r="4" spans="1:15" ht="15">
      <c r="A4" s="196" t="s">
        <v>171</v>
      </c>
      <c r="B4" s="196">
        <v>1200</v>
      </c>
      <c r="C4" s="196">
        <v>800</v>
      </c>
      <c r="D4" s="196">
        <v>325</v>
      </c>
      <c r="E4" s="196">
        <f>SUM(C4-D4)</f>
        <v>475</v>
      </c>
      <c r="F4" s="196">
        <f>SUM(B4*E4)</f>
        <v>570000</v>
      </c>
      <c r="G4" s="196">
        <f>SUM(B4/$E$11)</f>
        <v>400</v>
      </c>
      <c r="H4" s="201">
        <f>SUM(F5-F4)/(G5-G4)</f>
        <v>1245</v>
      </c>
      <c r="I4" s="199">
        <v>3</v>
      </c>
      <c r="J4" s="202">
        <f>(G5-J3)</f>
        <v>200</v>
      </c>
      <c r="K4" s="203"/>
      <c r="O4" s="204"/>
    </row>
    <row r="5" spans="1:10" ht="15">
      <c r="A5" s="196" t="s">
        <v>172</v>
      </c>
      <c r="B5" s="196">
        <v>1800</v>
      </c>
      <c r="C5" s="196">
        <v>780</v>
      </c>
      <c r="D5" s="196">
        <v>325</v>
      </c>
      <c r="E5" s="196">
        <f>SUM(C5-D5)</f>
        <v>455</v>
      </c>
      <c r="F5" s="196">
        <f>SUM(B5*E5)</f>
        <v>819000</v>
      </c>
      <c r="G5" s="196">
        <f>SUM(B5/$E$11)</f>
        <v>600</v>
      </c>
      <c r="H5" s="201">
        <f>SUM(F6-F5)/(G6-G5)</f>
        <v>1125</v>
      </c>
      <c r="I5" s="199">
        <v>5</v>
      </c>
      <c r="J5" s="202">
        <f>G6-J3-J4</f>
        <v>200</v>
      </c>
    </row>
    <row r="6" spans="1:14" ht="15">
      <c r="A6" s="196" t="s">
        <v>173</v>
      </c>
      <c r="B6" s="196">
        <v>2400</v>
      </c>
      <c r="C6" s="196">
        <v>760</v>
      </c>
      <c r="D6" s="196">
        <v>325</v>
      </c>
      <c r="E6" s="196">
        <f>SUM(C6-D6)</f>
        <v>435</v>
      </c>
      <c r="F6" s="196">
        <f>SUM(B6*E6)</f>
        <v>1044000</v>
      </c>
      <c r="G6" s="196">
        <f>SUM(B6/$E$11)</f>
        <v>800</v>
      </c>
      <c r="H6" s="201">
        <f>SUM(F7-F6)/(G7-G6)</f>
        <v>765</v>
      </c>
      <c r="I6" s="199">
        <v>7</v>
      </c>
      <c r="J6" s="202">
        <f>G7-J3-J4-J5</f>
        <v>100</v>
      </c>
      <c r="K6" s="203"/>
      <c r="N6" s="203"/>
    </row>
    <row r="7" spans="1:14" ht="15">
      <c r="A7" s="205" t="s">
        <v>174</v>
      </c>
      <c r="B7" s="205">
        <v>2700</v>
      </c>
      <c r="C7" s="205">
        <v>740</v>
      </c>
      <c r="D7" s="205">
        <v>325</v>
      </c>
      <c r="E7" s="205">
        <f>SUM(C7-D7)</f>
        <v>415</v>
      </c>
      <c r="F7" s="205">
        <f>SUM(B7*E7)</f>
        <v>1120500</v>
      </c>
      <c r="G7" s="205">
        <f>SUM(B7/$E$11)</f>
        <v>900</v>
      </c>
      <c r="H7" s="206">
        <f>SUM(F8-F7)/(G8-G7)</f>
        <v>645</v>
      </c>
      <c r="I7" s="207">
        <v>8</v>
      </c>
      <c r="K7" s="203"/>
      <c r="N7" s="203"/>
    </row>
    <row r="8" spans="1:14" ht="15">
      <c r="A8" s="196" t="s">
        <v>175</v>
      </c>
      <c r="B8" s="196">
        <v>3000</v>
      </c>
      <c r="C8" s="196">
        <v>720</v>
      </c>
      <c r="D8" s="196">
        <v>325</v>
      </c>
      <c r="E8" s="196">
        <f>SUM(C8-D8)</f>
        <v>395</v>
      </c>
      <c r="F8" s="196">
        <f>SUM(B8*E8)</f>
        <v>1185000</v>
      </c>
      <c r="G8" s="196">
        <f>SUM(B8/$E$11)</f>
        <v>1000</v>
      </c>
      <c r="H8" s="201"/>
      <c r="K8" s="203"/>
      <c r="L8" s="203"/>
      <c r="N8" s="203"/>
    </row>
    <row r="9" spans="1:8" ht="15">
      <c r="A9" s="196"/>
      <c r="B9" s="196"/>
      <c r="C9" s="196"/>
      <c r="D9" s="196"/>
      <c r="E9" s="196"/>
      <c r="F9" s="196"/>
      <c r="G9" s="196"/>
      <c r="H9" s="201"/>
    </row>
    <row r="10" spans="1:5" ht="15">
      <c r="A10" s="208" t="s">
        <v>176</v>
      </c>
      <c r="C10" s="202">
        <v>50000</v>
      </c>
      <c r="E10" s="202">
        <v>60</v>
      </c>
    </row>
    <row r="11" spans="1:5" ht="15">
      <c r="A11" s="208" t="s">
        <v>177</v>
      </c>
      <c r="C11" s="202">
        <v>20</v>
      </c>
      <c r="D11" s="208" t="s">
        <v>178</v>
      </c>
      <c r="E11" s="202">
        <f>SUM(E10/C11)</f>
        <v>3</v>
      </c>
    </row>
    <row r="12" ht="15">
      <c r="A12" s="208"/>
    </row>
    <row r="13" spans="1:14" ht="15">
      <c r="A13" s="196"/>
      <c r="B13" s="196" t="s">
        <v>159</v>
      </c>
      <c r="C13" s="196" t="s">
        <v>160</v>
      </c>
      <c r="D13" s="196" t="s">
        <v>161</v>
      </c>
      <c r="E13" s="196" t="s">
        <v>162</v>
      </c>
      <c r="F13" s="196" t="s">
        <v>163</v>
      </c>
      <c r="G13" s="196" t="s">
        <v>169</v>
      </c>
      <c r="H13" s="196" t="s">
        <v>165</v>
      </c>
      <c r="I13" s="198" t="str">
        <f>I1</f>
        <v>Prioritet</v>
      </c>
      <c r="J13" s="197" t="s">
        <v>166</v>
      </c>
      <c r="L13" s="209" t="s">
        <v>25</v>
      </c>
      <c r="M13" s="198" t="s">
        <v>174</v>
      </c>
      <c r="N13" s="202">
        <f>B7*C7</f>
        <v>1998000</v>
      </c>
    </row>
    <row r="14" spans="1:14" ht="15">
      <c r="A14" s="196"/>
      <c r="B14" s="196" t="s">
        <v>167</v>
      </c>
      <c r="C14" s="196" t="s">
        <v>168</v>
      </c>
      <c r="D14" s="196" t="s">
        <v>168</v>
      </c>
      <c r="E14" s="196" t="s">
        <v>168</v>
      </c>
      <c r="F14" s="196" t="s">
        <v>168</v>
      </c>
      <c r="G14" s="196" t="s">
        <v>179</v>
      </c>
      <c r="H14" s="196" t="s">
        <v>168</v>
      </c>
      <c r="J14" s="198" t="s">
        <v>170</v>
      </c>
      <c r="L14" s="209" t="s">
        <v>25</v>
      </c>
      <c r="M14" s="210" t="s">
        <v>180</v>
      </c>
      <c r="N14" s="202">
        <f>B18*C18</f>
        <v>3240000</v>
      </c>
    </row>
    <row r="15" spans="1:14" ht="15">
      <c r="A15" s="196"/>
      <c r="B15" s="196"/>
      <c r="C15" s="196"/>
      <c r="D15" s="196"/>
      <c r="E15" s="196"/>
      <c r="F15" s="196"/>
      <c r="G15" s="196"/>
      <c r="H15" s="201">
        <f>SUM(F16-F15)/(G16-G15)</f>
        <v>2133.3333333333335</v>
      </c>
      <c r="I15" s="199">
        <v>1</v>
      </c>
      <c r="J15" s="202">
        <f>G16</f>
        <v>750</v>
      </c>
      <c r="L15" s="211" t="s">
        <v>181</v>
      </c>
      <c r="M15" s="210" t="s">
        <v>182</v>
      </c>
      <c r="N15" s="202">
        <f>N13+N14</f>
        <v>5238000</v>
      </c>
    </row>
    <row r="16" spans="1:14" ht="15">
      <c r="A16" s="196" t="s">
        <v>183</v>
      </c>
      <c r="B16" s="196">
        <v>2500</v>
      </c>
      <c r="C16" s="196">
        <v>1000</v>
      </c>
      <c r="D16" s="196">
        <v>360</v>
      </c>
      <c r="E16" s="196">
        <f>SUM(C16-D16)</f>
        <v>640</v>
      </c>
      <c r="F16" s="196">
        <f>SUM(B16*E16)</f>
        <v>1600000</v>
      </c>
      <c r="G16" s="196">
        <f>B16/E24</f>
        <v>750</v>
      </c>
      <c r="H16" s="201">
        <f>SUM(F17-F16)/(G17-G16)</f>
        <v>1133.3333333333333</v>
      </c>
      <c r="I16" s="199">
        <v>4</v>
      </c>
      <c r="J16" s="202">
        <f>G17-J15</f>
        <v>150</v>
      </c>
      <c r="L16" s="212" t="s">
        <v>184</v>
      </c>
      <c r="M16" s="203" t="s">
        <v>174</v>
      </c>
      <c r="N16" s="199">
        <f>B7*D7</f>
        <v>877500</v>
      </c>
    </row>
    <row r="17" spans="1:14" ht="15">
      <c r="A17" s="196" t="s">
        <v>185</v>
      </c>
      <c r="B17" s="196">
        <v>3000</v>
      </c>
      <c r="C17" s="196">
        <v>950</v>
      </c>
      <c r="D17" s="196">
        <v>360</v>
      </c>
      <c r="E17" s="196">
        <f>SUM(C17-D17)</f>
        <v>590</v>
      </c>
      <c r="F17" s="196">
        <f>SUM(B17*E17)</f>
        <v>1770000</v>
      </c>
      <c r="G17" s="196">
        <f>B17/$E$24</f>
        <v>900</v>
      </c>
      <c r="H17" s="201">
        <f>SUM(F18-F17)/(G18-G17)</f>
        <v>966.6666666666666</v>
      </c>
      <c r="I17" s="199">
        <v>6</v>
      </c>
      <c r="J17" s="202">
        <f>G18-J15-J16</f>
        <v>180</v>
      </c>
      <c r="L17" s="212" t="s">
        <v>184</v>
      </c>
      <c r="M17" s="203" t="s">
        <v>180</v>
      </c>
      <c r="N17" s="199">
        <f>B18*D18</f>
        <v>1296000</v>
      </c>
    </row>
    <row r="18" spans="1:14" ht="15">
      <c r="A18" s="205" t="s">
        <v>180</v>
      </c>
      <c r="B18" s="205">
        <v>3600</v>
      </c>
      <c r="C18" s="205">
        <v>900</v>
      </c>
      <c r="D18" s="205">
        <v>360</v>
      </c>
      <c r="E18" s="205">
        <f>SUM(C18-D18)</f>
        <v>540</v>
      </c>
      <c r="F18" s="205">
        <f>SUM(B18*E18)</f>
        <v>1944000</v>
      </c>
      <c r="G18" s="205">
        <f>B18/$E$24</f>
        <v>1080</v>
      </c>
      <c r="H18" s="206">
        <f>SUM(F19-F18)/(G19-G18)</f>
        <v>571.4285714285714</v>
      </c>
      <c r="I18" s="207">
        <v>9</v>
      </c>
      <c r="L18" s="213" t="s">
        <v>186</v>
      </c>
      <c r="N18" s="202">
        <f>80*C33</f>
        <v>24000</v>
      </c>
    </row>
    <row r="19" spans="1:14" ht="15">
      <c r="A19" s="196" t="s">
        <v>187</v>
      </c>
      <c r="B19" s="196">
        <v>4300</v>
      </c>
      <c r="C19" s="196">
        <v>840</v>
      </c>
      <c r="D19" s="196">
        <v>360</v>
      </c>
      <c r="E19" s="196">
        <f>SUM(C19-D19)</f>
        <v>480</v>
      </c>
      <c r="F19" s="196">
        <f>SUM(B19*E19)</f>
        <v>2064000</v>
      </c>
      <c r="G19" s="196">
        <f>B19/$E$24</f>
        <v>1290</v>
      </c>
      <c r="H19" s="201">
        <f>SUM(F20-F19)/(G20-G19)</f>
        <v>325</v>
      </c>
      <c r="I19" s="199">
        <v>10</v>
      </c>
      <c r="L19" s="214" t="s">
        <v>188</v>
      </c>
      <c r="M19" s="215"/>
      <c r="N19" s="216">
        <f>N15-N16-N17-N18</f>
        <v>3040500</v>
      </c>
    </row>
    <row r="20" spans="1:14" ht="15">
      <c r="A20" s="196" t="s">
        <v>189</v>
      </c>
      <c r="B20" s="196">
        <v>5100</v>
      </c>
      <c r="C20" s="196">
        <v>780</v>
      </c>
      <c r="D20" s="196">
        <v>360</v>
      </c>
      <c r="E20" s="196">
        <f>SUM(C20-D20)</f>
        <v>420</v>
      </c>
      <c r="F20" s="196">
        <f>SUM(B20*E20)</f>
        <v>2142000</v>
      </c>
      <c r="G20" s="196">
        <f>B20/$E$24</f>
        <v>1530</v>
      </c>
      <c r="H20" s="201"/>
      <c r="L20" s="217" t="s">
        <v>190</v>
      </c>
      <c r="M20" s="218"/>
      <c r="N20" s="218">
        <v>90000</v>
      </c>
    </row>
    <row r="21" spans="1:14" ht="15.75" thickBot="1">
      <c r="A21" s="219" t="s">
        <v>191</v>
      </c>
      <c r="B21" s="220"/>
      <c r="C21" s="220"/>
      <c r="D21" s="220"/>
      <c r="E21" s="220"/>
      <c r="F21" s="220"/>
      <c r="G21" s="220"/>
      <c r="H21" s="220"/>
      <c r="I21" s="207"/>
      <c r="J21" s="220">
        <f>SUM(J3:J19)</f>
        <v>1980</v>
      </c>
      <c r="L21" s="203" t="s">
        <v>192</v>
      </c>
      <c r="N21" s="221">
        <f>SUM(N19-N20)</f>
        <v>2950500</v>
      </c>
    </row>
    <row r="22" ht="15">
      <c r="L22" s="203" t="s">
        <v>34</v>
      </c>
    </row>
    <row r="23" spans="1:5" ht="15">
      <c r="A23" s="208" t="s">
        <v>193</v>
      </c>
      <c r="C23" s="202">
        <v>40000</v>
      </c>
      <c r="E23" s="202">
        <v>60</v>
      </c>
    </row>
    <row r="24" spans="1:5" ht="15">
      <c r="A24" s="208" t="s">
        <v>177</v>
      </c>
      <c r="C24" s="202">
        <v>18</v>
      </c>
      <c r="D24" s="208" t="s">
        <v>178</v>
      </c>
      <c r="E24" s="222">
        <f>SUM(E23/C24)</f>
        <v>3.3333333333333335</v>
      </c>
    </row>
    <row r="27" spans="1:4" ht="15">
      <c r="A27" s="199"/>
      <c r="B27" s="198" t="s">
        <v>194</v>
      </c>
      <c r="C27" s="199"/>
      <c r="D27" s="199"/>
    </row>
    <row r="28" spans="1:4" ht="15">
      <c r="A28" s="199"/>
      <c r="B28" s="198"/>
      <c r="C28" s="199"/>
      <c r="D28" s="199"/>
    </row>
    <row r="29" spans="1:4" ht="15">
      <c r="A29" s="203" t="s">
        <v>195</v>
      </c>
      <c r="B29" s="199"/>
      <c r="C29" s="199"/>
      <c r="D29" s="199"/>
    </row>
    <row r="30" spans="1:4" ht="15">
      <c r="A30" s="199"/>
      <c r="B30" s="199"/>
      <c r="C30" s="199"/>
      <c r="D30" s="199"/>
    </row>
    <row r="31" spans="1:4" ht="15">
      <c r="A31" s="203" t="s">
        <v>196</v>
      </c>
      <c r="B31" s="199"/>
      <c r="C31" s="199">
        <v>1900</v>
      </c>
      <c r="D31" s="203" t="s">
        <v>127</v>
      </c>
    </row>
    <row r="32" spans="1:4" ht="15">
      <c r="A32" s="203" t="s">
        <v>197</v>
      </c>
      <c r="B32" s="199"/>
      <c r="C32" s="199">
        <v>150</v>
      </c>
      <c r="D32" s="203" t="s">
        <v>127</v>
      </c>
    </row>
    <row r="33" spans="1:4" ht="15">
      <c r="A33" s="203" t="s">
        <v>198</v>
      </c>
      <c r="B33" s="203" t="s">
        <v>199</v>
      </c>
      <c r="C33" s="199">
        <v>300</v>
      </c>
      <c r="D33" s="203" t="s">
        <v>200</v>
      </c>
    </row>
    <row r="34" spans="1:4" ht="15">
      <c r="A34" s="199"/>
      <c r="B34" s="199"/>
      <c r="C34" s="199"/>
      <c r="D34" s="199"/>
    </row>
    <row r="35" ht="15">
      <c r="A35" s="223" t="s">
        <v>201</v>
      </c>
    </row>
    <row r="36" ht="15">
      <c r="A36" s="208" t="s">
        <v>202</v>
      </c>
    </row>
    <row r="37" ht="15">
      <c r="A37" s="208" t="s">
        <v>366</v>
      </c>
    </row>
    <row r="39" ht="15">
      <c r="A39" s="223" t="s">
        <v>203</v>
      </c>
    </row>
    <row r="40" spans="1:5" ht="15">
      <c r="A40" s="223"/>
      <c r="B40" s="208" t="s">
        <v>204</v>
      </c>
      <c r="C40" s="208" t="s">
        <v>205</v>
      </c>
      <c r="D40" s="208" t="s">
        <v>164</v>
      </c>
      <c r="E40" s="208" t="s">
        <v>206</v>
      </c>
    </row>
    <row r="41" spans="1:5" ht="15">
      <c r="A41" s="208" t="s">
        <v>189</v>
      </c>
      <c r="B41" s="202">
        <v>780</v>
      </c>
      <c r="C41" s="202">
        <v>5100</v>
      </c>
      <c r="D41" s="202">
        <v>1530</v>
      </c>
      <c r="E41" s="202">
        <v>2102000</v>
      </c>
    </row>
    <row r="42" spans="1:5" ht="15">
      <c r="A42" s="208" t="s">
        <v>175</v>
      </c>
      <c r="B42" s="202">
        <v>720</v>
      </c>
      <c r="C42" s="202">
        <v>3000</v>
      </c>
      <c r="D42" s="202">
        <v>1000</v>
      </c>
      <c r="E42" s="202">
        <v>1135000</v>
      </c>
    </row>
    <row r="43" spans="4:5" ht="15">
      <c r="D43" s="202">
        <f>D41+D42</f>
        <v>2530</v>
      </c>
      <c r="E43" s="216">
        <f>E41+E42</f>
        <v>3237000</v>
      </c>
    </row>
    <row r="44" spans="1:5" ht="15">
      <c r="A44" s="208" t="s">
        <v>207</v>
      </c>
      <c r="E44" s="224">
        <v>9000</v>
      </c>
    </row>
    <row r="45" ht="15">
      <c r="E45" s="216">
        <f>E43-E44</f>
        <v>3228000</v>
      </c>
    </row>
    <row r="46" spans="1:5" ht="15">
      <c r="A46" s="208" t="s">
        <v>208</v>
      </c>
      <c r="E46" s="224">
        <f>N21</f>
        <v>2950500</v>
      </c>
    </row>
    <row r="47" spans="1:5" ht="15.75" thickBot="1">
      <c r="A47" s="208" t="s">
        <v>209</v>
      </c>
      <c r="E47" s="221">
        <f>E45-E46</f>
        <v>277500</v>
      </c>
    </row>
  </sheetData>
  <sheetProtection/>
  <printOptions/>
  <pageMargins left="0.7" right="0.7" top="0.75" bottom="0.75" header="0.3" footer="0.3"/>
  <pageSetup fitToHeight="1" fitToWidth="1" horizontalDpi="600" verticalDpi="600" orientation="portrait" paperSize="9" scale="65" r:id="rId1"/>
</worksheet>
</file>

<file path=xl/worksheets/sheet10.xml><?xml version="1.0" encoding="utf-8"?>
<worksheet xmlns="http://schemas.openxmlformats.org/spreadsheetml/2006/main" xmlns:r="http://schemas.openxmlformats.org/officeDocument/2006/relationships">
  <sheetPr>
    <pageSetUpPr fitToPage="1"/>
  </sheetPr>
  <dimension ref="A1:BA23"/>
  <sheetViews>
    <sheetView workbookViewId="0" topLeftCell="A1">
      <selection activeCell="A4" sqref="A4:D4"/>
    </sheetView>
  </sheetViews>
  <sheetFormatPr defaultColWidth="9.140625" defaultRowHeight="12.75"/>
  <cols>
    <col min="1" max="1" width="5.8515625" style="0" customWidth="1"/>
    <col min="2" max="2" width="10.7109375" style="0" customWidth="1"/>
    <col min="3" max="3" width="1.7109375" style="0" customWidth="1"/>
    <col min="4" max="4" width="2.7109375" style="0" customWidth="1"/>
    <col min="5" max="5" width="14.57421875" style="0" customWidth="1"/>
    <col min="6" max="6" width="1.8515625" style="0" bestFit="1" customWidth="1"/>
    <col min="7" max="7" width="5.140625" style="0" bestFit="1" customWidth="1"/>
    <col min="8" max="8" width="2.8515625" style="0" bestFit="1" customWidth="1"/>
    <col min="9" max="9" width="2.140625" style="0" bestFit="1" customWidth="1"/>
    <col min="10" max="10" width="13.140625" style="0" customWidth="1"/>
    <col min="11" max="11" width="1.8515625" style="0" bestFit="1" customWidth="1"/>
    <col min="12" max="12" width="5.140625" style="0" bestFit="1" customWidth="1"/>
    <col min="13" max="13" width="1.8515625" style="0" bestFit="1" customWidth="1"/>
    <col min="14" max="14" width="2.140625" style="0" bestFit="1" customWidth="1"/>
    <col min="15" max="15" width="12.57421875" style="0" customWidth="1"/>
    <col min="16" max="16" width="2.00390625" style="0" customWidth="1"/>
    <col min="17" max="17" width="5.140625" style="0" bestFit="1" customWidth="1"/>
    <col min="18" max="18" width="2.28125" style="0" customWidth="1"/>
    <col min="19" max="19" width="1.8515625" style="0" customWidth="1"/>
    <col min="20" max="20" width="12.57421875" style="0" customWidth="1"/>
    <col min="21" max="21" width="2.140625" style="0" customWidth="1"/>
    <col min="22" max="22" width="5.421875" style="0" customWidth="1"/>
    <col min="23" max="23" width="1.8515625" style="0" bestFit="1" customWidth="1"/>
    <col min="24" max="24" width="1.8515625" style="0" customWidth="1"/>
    <col min="25" max="25" width="11.421875" style="0" bestFit="1" customWidth="1"/>
    <col min="26" max="26" width="1.8515625" style="0" customWidth="1"/>
    <col min="27" max="27" width="4.7109375" style="0" customWidth="1"/>
    <col min="28" max="28" width="1.8515625" style="0" customWidth="1"/>
    <col min="29" max="29" width="2.421875" style="0" customWidth="1"/>
    <col min="30" max="30" width="11.421875" style="0" bestFit="1" customWidth="1"/>
    <col min="31" max="31" width="2.28125" style="0" customWidth="1"/>
    <col min="32" max="32" width="5.7109375" style="0" customWidth="1"/>
    <col min="33" max="33" width="1.8515625" style="0" customWidth="1"/>
    <col min="34" max="34" width="1.7109375" style="0" customWidth="1"/>
    <col min="35" max="35" width="11.421875" style="0" bestFit="1" customWidth="1"/>
    <col min="36" max="36" width="2.7109375" style="0" customWidth="1"/>
    <col min="37" max="37" width="5.28125" style="0" customWidth="1"/>
    <col min="38" max="38" width="2.28125" style="0" customWidth="1"/>
    <col min="39" max="39" width="2.00390625" style="0" customWidth="1"/>
    <col min="40" max="40" width="11.421875" style="0" bestFit="1" customWidth="1"/>
    <col min="41" max="41" width="1.8515625" style="0" customWidth="1"/>
    <col min="42" max="42" width="4.8515625" style="0" customWidth="1"/>
    <col min="43" max="43" width="2.00390625" style="0" customWidth="1"/>
    <col min="44" max="44" width="1.7109375" style="0" customWidth="1"/>
    <col min="45" max="45" width="11.421875" style="0" bestFit="1" customWidth="1"/>
    <col min="46" max="46" width="2.28125" style="0" customWidth="1"/>
    <col min="47" max="47" width="4.8515625" style="0" customWidth="1"/>
    <col min="48" max="48" width="2.140625" style="0" customWidth="1"/>
    <col min="49" max="49" width="2.00390625" style="0" customWidth="1"/>
    <col min="50" max="50" width="11.421875" style="0" bestFit="1" customWidth="1"/>
    <col min="51" max="51" width="1.8515625" style="0" customWidth="1"/>
    <col min="52" max="52" width="5.28125" style="0" customWidth="1"/>
    <col min="53" max="53" width="2.7109375" style="0" customWidth="1"/>
  </cols>
  <sheetData>
    <row r="1" spans="1:53" ht="29.25" customHeight="1">
      <c r="A1" s="493" t="s">
        <v>347</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row>
    <row r="2" spans="1:53" ht="63.75" customHeight="1">
      <c r="A2" s="487" t="str">
        <f>CONCATENATE("Først skal ydelsen på lånet beregnes. Ydelsen på et serielån består af et konstant afdrag og en faldende rente. For det pågældende lån med en hovedstol på ",'Effektiv rente serielån'!D2," og ",'Effektiv rente serielån'!D10," terminer udregnes afdraget ved at dividere ",'Effektiv rente serielån'!D2," med ",'Effektiv rente serielån'!D10,". Det giver et afdrag på ",'Effektiv rente serielån'!D12*-1,". Nu skal renten så beregnes udfra restgælden. Nedenstående tabel viser beregningen af ydelsen. ",IF('Effektiv rente serielån'!D10&gt;10," (Beregningen vises maksimalt for 10 terminer, for at vise metoden)"," "))</f>
        <v>Først skal ydelsen på lånet beregnes. Ydelsen på et serielån består af et konstant afdrag og en faldende rente. For det pågældende lån med en hovedstol på 1010000 og 4 terminer udregnes afdraget ved at dividere 1010000 med 4. Det giver et afdrag på 252500. Nu skal renten så beregnes udfra restgælden. Nedenstående tabel viser beregningen af ydelsen.  </v>
      </c>
      <c r="B2" s="487"/>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row>
    <row r="3" spans="1:53" ht="44.25" customHeight="1">
      <c r="A3" s="387"/>
      <c r="B3" s="387"/>
      <c r="C3" s="387"/>
      <c r="D3" s="387"/>
      <c r="E3" s="484" t="s">
        <v>299</v>
      </c>
      <c r="F3" s="485"/>
      <c r="G3" s="485"/>
      <c r="H3" s="388">
        <v>1</v>
      </c>
      <c r="I3" s="399" t="str">
        <f>IF('Effektiv rente serielån'!$G$21=0,"","Ydelse")</f>
        <v>Ydelse</v>
      </c>
      <c r="J3" s="372"/>
      <c r="K3" s="372"/>
      <c r="L3" s="372"/>
      <c r="M3" s="389" t="str">
        <f>IF('Effektiv rente serielån'!G21=0,"","2")</f>
        <v>2</v>
      </c>
      <c r="N3" s="399" t="str">
        <f>IF('Effektiv rente serielån'!$G$22=0,"","Ydelse")</f>
        <v>Ydelse</v>
      </c>
      <c r="O3" s="372"/>
      <c r="P3" s="372"/>
      <c r="Q3" s="372"/>
      <c r="R3" s="389" t="str">
        <f>IF('Effektiv rente serielån'!$G$22=0,"","3")</f>
        <v>3</v>
      </c>
      <c r="S3" s="399" t="str">
        <f>IF('Effektiv rente serielån'!$G$23=0,"","Ydelse")</f>
        <v>Ydelse</v>
      </c>
      <c r="T3" s="372"/>
      <c r="U3" s="372"/>
      <c r="V3" s="372"/>
      <c r="W3" s="389" t="str">
        <f>IF('Effektiv rente serielån'!$G$23=0,"","4")</f>
        <v>4</v>
      </c>
      <c r="X3" s="399">
        <f>IF('Effektiv rente serielån'!$G$24=0,"","Ydelse")</f>
      </c>
      <c r="Y3" s="372"/>
      <c r="Z3" s="372"/>
      <c r="AA3" s="372"/>
      <c r="AB3" s="389">
        <f>IF('Effektiv rente serielån'!$G$24=0,"","5")</f>
      </c>
      <c r="AC3" s="399">
        <f>IF('Effektiv rente serielån'!$G$25=0,"","Ydelse")</f>
      </c>
      <c r="AD3" s="372"/>
      <c r="AE3" s="372"/>
      <c r="AF3" s="372"/>
      <c r="AG3" s="389">
        <f>IF('Effektiv rente serielån'!$G$25=0,"","6")</f>
      </c>
      <c r="AH3" s="399">
        <f>IF('Effektiv rente serielån'!$G$26=0,"","Ydelse")</f>
      </c>
      <c r="AI3" s="372"/>
      <c r="AJ3" s="372"/>
      <c r="AK3" s="372"/>
      <c r="AL3" s="389">
        <f>IF('Effektiv rente serielån'!$G$26=0,"","7")</f>
      </c>
      <c r="AM3" s="399">
        <f>IF('Effektiv rente serielån'!$G$27=0,"","Ydelse")</f>
      </c>
      <c r="AN3" s="372"/>
      <c r="AO3" s="372"/>
      <c r="AP3" s="372"/>
      <c r="AQ3" s="389">
        <f>IF('Effektiv rente serielån'!$G$27=0,"","8")</f>
      </c>
      <c r="AR3" s="399">
        <f>IF('Effektiv rente serielån'!$G$28=0,"","Ydelse")</f>
      </c>
      <c r="AS3" s="372"/>
      <c r="AT3" s="372"/>
      <c r="AU3" s="372"/>
      <c r="AV3" s="389">
        <f>IF('Effektiv rente serielån'!$G$28=0,"","9")</f>
      </c>
      <c r="AW3" s="399">
        <f>IF('Effektiv rente serielån'!$G$29=0,"","Ydelse")</f>
      </c>
      <c r="AX3" s="372"/>
      <c r="AY3" s="372"/>
      <c r="AZ3" s="372"/>
      <c r="BA3" s="389">
        <f>IF('Effektiv rente serielån'!$G$29=0,"","10")</f>
      </c>
    </row>
    <row r="4" spans="1:53" ht="44.25" customHeight="1">
      <c r="A4" s="472" t="s">
        <v>296</v>
      </c>
      <c r="B4" s="473"/>
      <c r="C4" s="473"/>
      <c r="D4" s="474"/>
      <c r="E4" s="486">
        <f>'Effektiv rente serielån'!D2</f>
        <v>1010000</v>
      </c>
      <c r="F4" s="486"/>
      <c r="G4" s="486"/>
      <c r="H4" s="486"/>
      <c r="I4" s="470">
        <f>IF('Effektiv rente serielån'!$G$21=0," ",'Effektiv rente serielån'!$B$22)</f>
        <v>757500</v>
      </c>
      <c r="J4" s="470"/>
      <c r="K4" s="470"/>
      <c r="L4" s="470"/>
      <c r="M4" s="470"/>
      <c r="N4" s="478">
        <f>IF('Effektiv rente serielån'!$G$22=0," ",'Effektiv rente serielån'!$B$23)</f>
        <v>505000</v>
      </c>
      <c r="O4" s="479"/>
      <c r="P4" s="479"/>
      <c r="Q4" s="479"/>
      <c r="R4" s="480"/>
      <c r="S4" s="470">
        <f>IF('Effektiv rente serielån'!$G$23=0," ",'Effektiv rente serielån'!$B$24)</f>
        <v>252500</v>
      </c>
      <c r="T4" s="470"/>
      <c r="U4" s="470"/>
      <c r="V4" s="470"/>
      <c r="W4" s="470"/>
      <c r="X4" s="470" t="str">
        <f>IF('Effektiv rente serielån'!$G$24=0," ",'Effektiv rente serielån'!$B$25)</f>
        <v> </v>
      </c>
      <c r="Y4" s="470"/>
      <c r="Z4" s="470"/>
      <c r="AA4" s="470"/>
      <c r="AB4" s="470"/>
      <c r="AC4" s="470" t="str">
        <f>IF('Effektiv rente serielån'!$G$25=0," ",'Effektiv rente serielån'!$B$26)</f>
        <v> </v>
      </c>
      <c r="AD4" s="470"/>
      <c r="AE4" s="470"/>
      <c r="AF4" s="470"/>
      <c r="AG4" s="470"/>
      <c r="AH4" s="470" t="str">
        <f>IF('Effektiv rente serielån'!$G$26=0," ",'Effektiv rente serielån'!$B$27)</f>
        <v> </v>
      </c>
      <c r="AI4" s="470"/>
      <c r="AJ4" s="470"/>
      <c r="AK4" s="470"/>
      <c r="AL4" s="470"/>
      <c r="AM4" s="470" t="str">
        <f>IF('Effektiv rente serielån'!$G$27=0," ",'Effektiv rente serielån'!$B$28)</f>
        <v> </v>
      </c>
      <c r="AN4" s="470"/>
      <c r="AO4" s="470"/>
      <c r="AP4" s="470"/>
      <c r="AQ4" s="470"/>
      <c r="AR4" s="470" t="str">
        <f>IF('Effektiv rente serielån'!$G$28=0," ",'Effektiv rente serielån'!$B$29)</f>
        <v> </v>
      </c>
      <c r="AS4" s="470"/>
      <c r="AT4" s="470"/>
      <c r="AU4" s="470"/>
      <c r="AV4" s="470"/>
      <c r="AW4" s="470" t="str">
        <f>IF('Effektiv rente serielån'!$G$29=0," ",'Effektiv rente serielån'!$B$30)</f>
        <v> </v>
      </c>
      <c r="AX4" s="470"/>
      <c r="AY4" s="470"/>
      <c r="AZ4" s="470"/>
      <c r="BA4" s="470"/>
    </row>
    <row r="5" spans="1:53" ht="44.25" customHeight="1">
      <c r="A5" s="472" t="str">
        <f>CONCATENATE("Rente ",'Effektiv rente serielån'!D11*100,"% af restgælden")</f>
        <v>Rente 6,5% af restgælden</v>
      </c>
      <c r="B5" s="473"/>
      <c r="C5" s="473"/>
      <c r="D5" s="474"/>
      <c r="E5" s="486">
        <f>'Effektiv rente serielån'!E21</f>
        <v>65650</v>
      </c>
      <c r="F5" s="486"/>
      <c r="G5" s="486"/>
      <c r="H5" s="486"/>
      <c r="I5" s="470">
        <f>IF('Effektiv rente serielån'!$G$21=0," ",'Effektiv rente serielån'!$E$22)</f>
        <v>49237.5</v>
      </c>
      <c r="J5" s="470"/>
      <c r="K5" s="470"/>
      <c r="L5" s="470"/>
      <c r="M5" s="470"/>
      <c r="N5" s="470">
        <f>IF('Effektiv rente serielån'!$G$22=0," ",'Effektiv rente serielån'!$E$23)</f>
        <v>32825</v>
      </c>
      <c r="O5" s="470"/>
      <c r="P5" s="470"/>
      <c r="Q5" s="470"/>
      <c r="R5" s="470"/>
      <c r="S5" s="470">
        <f>IF('Effektiv rente serielån'!$G$23=0," ",'Effektiv rente serielån'!$E$24)</f>
        <v>16412.5</v>
      </c>
      <c r="T5" s="470"/>
      <c r="U5" s="470"/>
      <c r="V5" s="470"/>
      <c r="W5" s="470"/>
      <c r="X5" s="470" t="str">
        <f>IF('Effektiv rente serielån'!$G$24=0," ",'Effektiv rente serielån'!$E$25)</f>
        <v> </v>
      </c>
      <c r="Y5" s="470"/>
      <c r="Z5" s="470"/>
      <c r="AA5" s="470"/>
      <c r="AB5" s="470"/>
      <c r="AC5" s="470" t="str">
        <f>IF('Effektiv rente serielån'!$G$25=0," ",'Effektiv rente serielån'!$E$26)</f>
        <v> </v>
      </c>
      <c r="AD5" s="470"/>
      <c r="AE5" s="470"/>
      <c r="AF5" s="470"/>
      <c r="AG5" s="470"/>
      <c r="AH5" s="470" t="str">
        <f>IF('Effektiv rente serielån'!$G$26=0," ",'Effektiv rente serielån'!$E$27)</f>
        <v> </v>
      </c>
      <c r="AI5" s="470"/>
      <c r="AJ5" s="470"/>
      <c r="AK5" s="470"/>
      <c r="AL5" s="470"/>
      <c r="AM5" s="470" t="str">
        <f>IF('Effektiv rente serielån'!$G$27=0," ",'Effektiv rente serielån'!$E$28)</f>
        <v> </v>
      </c>
      <c r="AN5" s="470"/>
      <c r="AO5" s="470"/>
      <c r="AP5" s="470"/>
      <c r="AQ5" s="470"/>
      <c r="AR5" s="470" t="str">
        <f>IF('Effektiv rente serielån'!$G$28=0," ",'Effektiv rente serielån'!$E$29)</f>
        <v> </v>
      </c>
      <c r="AS5" s="470"/>
      <c r="AT5" s="470"/>
      <c r="AU5" s="470"/>
      <c r="AV5" s="470"/>
      <c r="AW5" s="470" t="str">
        <f>IF('Effektiv rente serielån'!$G$29=0," ",'Effektiv rente serielån'!$E$30)</f>
        <v> </v>
      </c>
      <c r="AX5" s="470"/>
      <c r="AY5" s="470"/>
      <c r="AZ5" s="470"/>
      <c r="BA5" s="470"/>
    </row>
    <row r="6" spans="1:53" ht="33.75" customHeight="1">
      <c r="A6" s="472" t="s">
        <v>298</v>
      </c>
      <c r="B6" s="473"/>
      <c r="C6" s="473"/>
      <c r="D6" s="474"/>
      <c r="E6" s="486">
        <f>'Effektiv rente serielån'!F21</f>
        <v>252500</v>
      </c>
      <c r="F6" s="486"/>
      <c r="G6" s="486"/>
      <c r="H6" s="486"/>
      <c r="I6" s="470">
        <f>IF('Effektiv rente serielån'!$G$21=0," ",'Effektiv rente serielån'!$F$22)</f>
        <v>252500</v>
      </c>
      <c r="J6" s="470"/>
      <c r="K6" s="470"/>
      <c r="L6" s="470"/>
      <c r="M6" s="470"/>
      <c r="N6" s="470">
        <f>IF('Effektiv rente serielån'!$G$22=0," ",'Effektiv rente serielån'!$F$23)</f>
        <v>252500</v>
      </c>
      <c r="O6" s="470"/>
      <c r="P6" s="470"/>
      <c r="Q6" s="470"/>
      <c r="R6" s="470"/>
      <c r="S6" s="470">
        <f>IF('Effektiv rente serielån'!$G$23=0," ",'Effektiv rente serielån'!$F$24)</f>
        <v>252500</v>
      </c>
      <c r="T6" s="470"/>
      <c r="U6" s="470"/>
      <c r="V6" s="470"/>
      <c r="W6" s="470"/>
      <c r="X6" s="470" t="str">
        <f>IF('Effektiv rente serielån'!$G$24=0," ",'Effektiv rente serielån'!$F$25)</f>
        <v> </v>
      </c>
      <c r="Y6" s="470"/>
      <c r="Z6" s="470"/>
      <c r="AA6" s="470"/>
      <c r="AB6" s="470"/>
      <c r="AC6" s="470" t="str">
        <f>IF('Effektiv rente serielån'!$G$25=0," ",'Effektiv rente serielån'!$F$26)</f>
        <v> </v>
      </c>
      <c r="AD6" s="470"/>
      <c r="AE6" s="470"/>
      <c r="AF6" s="470"/>
      <c r="AG6" s="470"/>
      <c r="AH6" s="470" t="str">
        <f>IF('Effektiv rente serielån'!$G$26=0," ",'Effektiv rente serielån'!$F$27)</f>
        <v> </v>
      </c>
      <c r="AI6" s="470"/>
      <c r="AJ6" s="470"/>
      <c r="AK6" s="470"/>
      <c r="AL6" s="470"/>
      <c r="AM6" s="470" t="str">
        <f>IF('Effektiv rente serielån'!$G$27=0," ",'Effektiv rente serielån'!$F$28)</f>
        <v> </v>
      </c>
      <c r="AN6" s="470"/>
      <c r="AO6" s="470"/>
      <c r="AP6" s="470"/>
      <c r="AQ6" s="470"/>
      <c r="AR6" s="470" t="str">
        <f>IF('Effektiv rente serielån'!$G$28=0," ",'Effektiv rente serielån'!$F$29)</f>
        <v> </v>
      </c>
      <c r="AS6" s="470"/>
      <c r="AT6" s="470"/>
      <c r="AU6" s="470"/>
      <c r="AV6" s="470"/>
      <c r="AW6" s="470" t="str">
        <f>IF('Effektiv rente serielån'!$G$29=0," ",'Effektiv rente serielån'!$F$30)</f>
        <v> </v>
      </c>
      <c r="AX6" s="470"/>
      <c r="AY6" s="470"/>
      <c r="AZ6" s="470"/>
      <c r="BA6" s="470"/>
    </row>
    <row r="7" spans="1:53" ht="33.75" customHeight="1" hidden="1">
      <c r="A7" s="472" t="s">
        <v>348</v>
      </c>
      <c r="B7" s="473"/>
      <c r="C7" s="474"/>
      <c r="D7" s="129"/>
      <c r="E7" s="475">
        <f>'Effektiv rente serielån'!D13</f>
        <v>0</v>
      </c>
      <c r="F7" s="476"/>
      <c r="G7" s="476"/>
      <c r="H7" s="477"/>
      <c r="I7" s="470">
        <f>IF('Effektiv rente serielån'!$G$21=0," ",'Effektiv rente serielån'!$D13)</f>
        <v>0</v>
      </c>
      <c r="J7" s="470"/>
      <c r="K7" s="470"/>
      <c r="L7" s="470"/>
      <c r="M7" s="470"/>
      <c r="N7" s="470">
        <f>IF('Effektiv rente serielån'!$G$22=0," ",'Effektiv rente serielån'!$D13)</f>
        <v>0</v>
      </c>
      <c r="O7" s="470"/>
      <c r="P7" s="470"/>
      <c r="Q7" s="470"/>
      <c r="R7" s="470"/>
      <c r="S7" s="470">
        <f>IF('Effektiv rente serielån'!$G$23=0," ",'Effektiv rente serielån'!$D$13)</f>
        <v>0</v>
      </c>
      <c r="T7" s="470"/>
      <c r="U7" s="470"/>
      <c r="V7" s="470"/>
      <c r="W7" s="470"/>
      <c r="X7" s="470" t="str">
        <f>IF('Effektiv rente serielån'!$G$24=0," ",'Effektiv rente serielån'!$D13)</f>
        <v> </v>
      </c>
      <c r="Y7" s="470"/>
      <c r="Z7" s="470"/>
      <c r="AA7" s="470"/>
      <c r="AB7" s="470"/>
      <c r="AC7" s="470" t="str">
        <f>IF('Effektiv rente serielån'!$G$25=0," ",'Effektiv rente serielån'!$D13)</f>
        <v> </v>
      </c>
      <c r="AD7" s="470"/>
      <c r="AE7" s="470"/>
      <c r="AF7" s="470"/>
      <c r="AG7" s="470"/>
      <c r="AH7" s="470" t="str">
        <f>IF('Effektiv rente serielån'!$G$26=0," ",'Effektiv rente serielån'!$D13)</f>
        <v> </v>
      </c>
      <c r="AI7" s="470"/>
      <c r="AJ7" s="470"/>
      <c r="AK7" s="470"/>
      <c r="AL7" s="470"/>
      <c r="AM7" s="470" t="str">
        <f>IF('Effektiv rente serielån'!$G$27=0," ",'Effektiv rente serielån'!$D13)</f>
        <v> </v>
      </c>
      <c r="AN7" s="470"/>
      <c r="AO7" s="470"/>
      <c r="AP7" s="470"/>
      <c r="AQ7" s="470"/>
      <c r="AR7" s="470" t="str">
        <f>IF('Effektiv rente serielån'!$G$28=0," ",'Effektiv rente serielån'!$D13)</f>
        <v> </v>
      </c>
      <c r="AS7" s="470"/>
      <c r="AT7" s="470"/>
      <c r="AU7" s="470"/>
      <c r="AV7" s="470"/>
      <c r="AW7" s="470" t="str">
        <f>IF('Effektiv rente serielån'!$G$29=0," ",'Effektiv rente serielån'!$D13)</f>
        <v> </v>
      </c>
      <c r="AX7" s="470"/>
      <c r="AY7" s="470"/>
      <c r="AZ7" s="470"/>
      <c r="BA7" s="470"/>
    </row>
    <row r="8" spans="1:53" ht="44.25" customHeight="1">
      <c r="A8" s="494" t="str">
        <f>IF('Effektiv rente serielån'!D13=0,"Ydelse                     (afdrag + rente)","Ydelse      (afdrag+rente   +gebyr)")</f>
        <v>Ydelse                     (afdrag + rente)</v>
      </c>
      <c r="B8" s="495"/>
      <c r="C8" s="495"/>
      <c r="D8" s="496"/>
      <c r="E8" s="488">
        <f>'Effektiv rente serielån'!C21</f>
        <v>318150</v>
      </c>
      <c r="F8" s="488"/>
      <c r="G8" s="488"/>
      <c r="H8" s="488"/>
      <c r="I8" s="470">
        <f>IF('Effektiv rente serielån'!$G$21=0," ",'Effektiv rente serielån'!$C$22)</f>
        <v>301737.5</v>
      </c>
      <c r="J8" s="470"/>
      <c r="K8" s="470"/>
      <c r="L8" s="470"/>
      <c r="M8" s="470"/>
      <c r="N8" s="470">
        <f>IF('Effektiv rente serielån'!$G$22=0," ",'Effektiv rente serielån'!$C$23)</f>
        <v>285325</v>
      </c>
      <c r="O8" s="470"/>
      <c r="P8" s="470"/>
      <c r="Q8" s="470"/>
      <c r="R8" s="470"/>
      <c r="S8" s="470">
        <f>IF('Effektiv rente serielån'!$G$23=0," ",'Effektiv rente serielån'!$C$24)</f>
        <v>268912.5</v>
      </c>
      <c r="T8" s="470"/>
      <c r="U8" s="470"/>
      <c r="V8" s="470"/>
      <c r="W8" s="470"/>
      <c r="X8" s="470" t="str">
        <f>IF('Effektiv rente serielån'!$G$24=0," ",'Effektiv rente serielån'!$C$25)</f>
        <v> </v>
      </c>
      <c r="Y8" s="470"/>
      <c r="Z8" s="470"/>
      <c r="AA8" s="470"/>
      <c r="AB8" s="470"/>
      <c r="AC8" s="470" t="str">
        <f>IF('Effektiv rente serielån'!$G$25=0," ",'Effektiv rente serielån'!$C$26)</f>
        <v> </v>
      </c>
      <c r="AD8" s="470"/>
      <c r="AE8" s="470"/>
      <c r="AF8" s="470"/>
      <c r="AG8" s="470"/>
      <c r="AH8" s="470" t="str">
        <f>IF('Effektiv rente serielån'!$G$26=0," ",'Effektiv rente serielån'!$C$27)</f>
        <v> </v>
      </c>
      <c r="AI8" s="470"/>
      <c r="AJ8" s="470"/>
      <c r="AK8" s="470"/>
      <c r="AL8" s="470"/>
      <c r="AM8" s="470" t="str">
        <f>IF('Effektiv rente serielån'!$G$27=0," ",'Effektiv rente serielån'!$C$28)</f>
        <v> </v>
      </c>
      <c r="AN8" s="470"/>
      <c r="AO8" s="470"/>
      <c r="AP8" s="470"/>
      <c r="AQ8" s="470"/>
      <c r="AR8" s="470" t="str">
        <f>IF('Effektiv rente serielån'!$G$28=0," ",'Effektiv rente serielån'!$C$29)</f>
        <v> </v>
      </c>
      <c r="AS8" s="470"/>
      <c r="AT8" s="470"/>
      <c r="AU8" s="470"/>
      <c r="AV8" s="470"/>
      <c r="AW8" s="470" t="str">
        <f>IF('Effektiv rente serielån'!$G$29=0," ",'Effektiv rente serielån'!$C$30)</f>
        <v> </v>
      </c>
      <c r="AX8" s="470"/>
      <c r="AY8" s="470"/>
      <c r="AZ8" s="470"/>
      <c r="BA8" s="470"/>
    </row>
    <row r="9" spans="1:53" ht="34.5" customHeight="1">
      <c r="A9" s="471"/>
      <c r="B9" s="471"/>
      <c r="C9" s="471"/>
      <c r="D9" s="471"/>
      <c r="E9" s="471"/>
      <c r="F9" s="4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1"/>
      <c r="AM9" s="471"/>
      <c r="AN9" s="471"/>
      <c r="AO9" s="471"/>
      <c r="AP9" s="471"/>
      <c r="AQ9" s="471"/>
      <c r="AR9" s="471"/>
      <c r="AS9" s="471"/>
      <c r="AT9" s="471"/>
      <c r="AU9" s="471"/>
      <c r="AV9" s="471"/>
      <c r="AW9" s="471"/>
      <c r="AX9" s="471"/>
      <c r="AY9" s="471"/>
      <c r="AZ9" s="471"/>
      <c r="BA9" s="471"/>
    </row>
    <row r="10" spans="1:53" ht="41.25" customHeight="1">
      <c r="A10" s="487" t="str">
        <f>CONCATENATE("Den effektive rente på et serielån beregnes ved balanceliningen. Man tilbagediskonterer alle fremtidige ydelser til en nutidsværdi som skal være lig med nettoprovenuet. Formelen der anvendes er diskonteringsfaktoren"," (rentetabel 2). Ved at indsætte tallene kan følgende ligning opstilles (renten (r) er ubekendt.",IF('Effektiv rente serielån'!D10&gt;10," (Beregningen vises maximalt for 10 terminer for at vise metoden)"," "))</f>
        <v>Den effektive rente på et serielån beregnes ved balanceliningen. Man tilbagediskonterer alle fremtidige ydelser til en nutidsværdi som skal være lig med nettoprovenuet. Formelen der anvendes er diskonteringsfaktoren (rentetabel 2). Ved at indsætte tallene kan følgende ligning opstilles (renten (r) er ubekendt. </v>
      </c>
      <c r="B10" s="487"/>
      <c r="C10" s="487"/>
      <c r="D10" s="487"/>
      <c r="E10" s="487"/>
      <c r="F10" s="487"/>
      <c r="G10" s="487"/>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row>
    <row r="11" spans="1:53" ht="26.25" customHeight="1">
      <c r="A11" s="481" t="str">
        <f>CONCATENATE("(Nettoprovenuet)     ",'Effektiv rente serielån'!D6)</f>
        <v>(Nettoprovenuet)     974800</v>
      </c>
      <c r="B11" s="482"/>
      <c r="C11" t="s">
        <v>89</v>
      </c>
      <c r="E11" s="154">
        <f>'Effektiv rente serielån'!C21</f>
        <v>318150</v>
      </c>
      <c r="F11" s="390" t="s">
        <v>331</v>
      </c>
      <c r="G11" t="s">
        <v>349</v>
      </c>
      <c r="H11" s="391">
        <v>-1</v>
      </c>
      <c r="I11" t="str">
        <f>IF('Effektiv rente serielån'!C22=0,"","+")</f>
        <v>+</v>
      </c>
      <c r="J11" s="195">
        <f>IF('Effektiv rente serielån'!C22=0,"",'Effektiv rente serielån'!C22)</f>
        <v>301737.5</v>
      </c>
      <c r="K11" t="str">
        <f>IF('Effektiv rente serielån'!C22=0,"","*")</f>
        <v>*</v>
      </c>
      <c r="L11" t="str">
        <f>IF('Effektiv rente serielån'!C22=0,"","(1+r)")</f>
        <v>(1+r)</v>
      </c>
      <c r="M11" s="392" t="str">
        <f>IF('Effektiv rente serielån'!C22=0,"","-2")</f>
        <v>-2</v>
      </c>
      <c r="N11" s="393" t="str">
        <f>IF('Effektiv rente serielån'!C23=0,"","+")</f>
        <v>+</v>
      </c>
      <c r="O11" s="394">
        <f>IF('Effektiv rente serielån'!C23=0,"",'Effektiv rente serielån'!C23)</f>
        <v>285325</v>
      </c>
      <c r="P11" s="393" t="str">
        <f>IF('Effektiv rente serielån'!C23=0,"","*")</f>
        <v>*</v>
      </c>
      <c r="Q11" s="393" t="str">
        <f>IF('Effektiv rente serielån'!C23=0,"","(1+r)")</f>
        <v>(1+r)</v>
      </c>
      <c r="R11" s="392" t="str">
        <f>IF('Effektiv rente serielån'!C23=0,"","-3")</f>
        <v>-3</v>
      </c>
      <c r="S11" s="395" t="str">
        <f>IF('Effektiv rente serielån'!C24=0,"","+")</f>
        <v>+</v>
      </c>
      <c r="T11" s="396">
        <f>IF('Effektiv rente serielån'!C24=0,"",'Effektiv rente serielån'!C24)</f>
        <v>268912.5</v>
      </c>
      <c r="U11" s="396" t="str">
        <f>IF('Effektiv rente serielån'!C24=0,"","*")</f>
        <v>*</v>
      </c>
      <c r="V11" s="400" t="str">
        <f>IF('Effektiv rente serielån'!C24=0,"","(1+r)")</f>
        <v>(1+r)</v>
      </c>
      <c r="W11" s="401" t="str">
        <f>IF('Effektiv rente serielån'!C24=0,"","-4")</f>
        <v>-4</v>
      </c>
      <c r="X11" s="396">
        <f>IF('Effektiv rente serielån'!C25=0,"","+")</f>
      </c>
      <c r="Y11" s="396">
        <f>IF('Effektiv rente serielån'!C25=0,"",'Effektiv rente serielån'!C25)</f>
      </c>
      <c r="Z11" s="396">
        <f>IF('Effektiv rente serielån'!C25=0,"","*")</f>
      </c>
      <c r="AA11" s="396">
        <f>IF('Effektiv rente serielån'!C25=0,"","(1+r)")</f>
      </c>
      <c r="AB11" s="401">
        <f>IF('Effektiv rente serielån'!C25=0,"","-5")</f>
      </c>
      <c r="AC11" s="396">
        <f>IF('Effektiv rente serielån'!C26=0,"","+")</f>
      </c>
      <c r="AD11" s="396">
        <f>IF('Effektiv rente serielån'!C26=0,"",'Effektiv rente serielån'!C26)</f>
      </c>
      <c r="AE11" s="396">
        <f>IF('Effektiv rente serielån'!C26=0,"","*")</f>
      </c>
      <c r="AF11" s="396">
        <f>IF('Effektiv rente serielån'!C26=0,"","(1+r)")</f>
      </c>
      <c r="AG11" s="401">
        <f>IF('Effektiv rente serielån'!C26=0,"","-6")</f>
      </c>
      <c r="AH11" s="396">
        <f>IF('Effektiv rente serielån'!C27=0,"","+")</f>
      </c>
      <c r="AI11" s="396">
        <f>IF('Effektiv rente serielån'!C27=0,"",'Effektiv rente serielån'!C27)</f>
      </c>
      <c r="AJ11" s="396">
        <f>IF('Effektiv rente serielån'!C27=0,"","*")</f>
      </c>
      <c r="AK11" s="396">
        <f>IF('Effektiv rente serielån'!C27=0,"","(1+r)")</f>
      </c>
      <c r="AL11" s="401">
        <f>IF('Effektiv rente serielån'!C27=0,"","-7")</f>
      </c>
      <c r="AM11" s="396">
        <f>IF('Effektiv rente serielån'!C28=0,"","+")</f>
      </c>
      <c r="AN11" s="396">
        <f>IF('Effektiv rente serielån'!C28=0,"",'Effektiv rente serielån'!C28)</f>
      </c>
      <c r="AO11" s="396">
        <f>IF('Effektiv rente serielån'!C28=0,"","*")</f>
      </c>
      <c r="AP11" s="396">
        <f>IF('Effektiv rente serielån'!C28=0,"","(1+r)")</f>
      </c>
      <c r="AQ11" s="401">
        <f>IF('Effektiv rente serielån'!C28=0,"","-8")</f>
      </c>
      <c r="AR11" s="396">
        <f>IF('Effektiv rente serielån'!C29=0,"","+")</f>
      </c>
      <c r="AS11" s="396">
        <f>IF('Effektiv rente serielån'!C29=0,"",'Effektiv rente serielån'!C29)</f>
      </c>
      <c r="AT11" s="396">
        <f>IF('Effektiv rente serielån'!C29=0,"","*")</f>
      </c>
      <c r="AU11" s="396">
        <f>IF('Effektiv rente serielån'!C29=0,"","(1+r)")</f>
      </c>
      <c r="AV11" s="401">
        <f>IF('Effektiv rente serielån'!C29=0,"","-9")</f>
      </c>
      <c r="AW11" s="396">
        <f>IF('Effektiv rente serielån'!C30=0,"","+")</f>
      </c>
      <c r="AX11" s="396">
        <f>IF('Effektiv rente serielån'!C30=0,"",'Effektiv rente serielån'!C30)</f>
      </c>
      <c r="AY11" s="396">
        <f>IF('Effektiv rente serielån'!C30=0,"","*")</f>
      </c>
      <c r="AZ11" s="396">
        <f>IF('Effektiv rente serielån'!C30=0,"","(1+r)")</f>
      </c>
      <c r="BA11" s="401">
        <f>IF('Effektiv rente serielån'!C30=0,"","-10")</f>
      </c>
    </row>
    <row r="12" spans="1:53" ht="20.25" customHeight="1">
      <c r="A12" s="442" t="s">
        <v>338</v>
      </c>
      <c r="B12" s="442"/>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2"/>
      <c r="AM12" s="442"/>
      <c r="AN12" s="442"/>
      <c r="AO12" s="442"/>
      <c r="AP12" s="442"/>
      <c r="AQ12" s="442"/>
      <c r="AR12" s="442"/>
      <c r="AS12" s="442"/>
      <c r="AT12" s="442"/>
      <c r="AU12" s="442"/>
      <c r="AV12" s="442"/>
      <c r="AW12" s="442"/>
      <c r="AX12" s="442"/>
      <c r="AY12" s="442"/>
      <c r="AZ12" s="442"/>
      <c r="BA12" s="442"/>
    </row>
    <row r="13" spans="1:5" ht="24" customHeight="1">
      <c r="A13" s="483" t="s">
        <v>333</v>
      </c>
      <c r="B13" s="483"/>
      <c r="C13" s="402" t="s">
        <v>89</v>
      </c>
      <c r="D13" s="402"/>
      <c r="E13" s="403">
        <f>IRR('Effektiv rente serielån'!C20:C380)</f>
        <v>0.08124908493738786</v>
      </c>
    </row>
    <row r="14" spans="1:5" ht="24" customHeight="1">
      <c r="A14" s="442" t="s">
        <v>350</v>
      </c>
      <c r="B14" s="442"/>
      <c r="C14" s="442"/>
      <c r="D14" s="442"/>
      <c r="E14" s="442"/>
    </row>
    <row r="15" spans="1:5" ht="24.75" customHeight="1" thickBot="1">
      <c r="A15" s="491" t="s">
        <v>333</v>
      </c>
      <c r="B15" s="491"/>
      <c r="C15" s="1" t="s">
        <v>89</v>
      </c>
      <c r="D15" s="1"/>
      <c r="E15" s="404">
        <f>E13</f>
        <v>0.08124908493738786</v>
      </c>
    </row>
    <row r="16" ht="13.5" thickTop="1"/>
    <row r="17" spans="1:20" ht="21" customHeight="1">
      <c r="A17" s="489">
        <f>IF('Effektiv rente serielån'!D9=1,"",CONCATENATE("Da terminerne på lånet er ",'Effektiv rente serielån'!D9," gange pr. år skal følgende beregning foretages:"))</f>
      </c>
      <c r="B17" s="489"/>
      <c r="C17" s="489"/>
      <c r="D17" s="489"/>
      <c r="E17" s="489"/>
      <c r="F17" s="489"/>
      <c r="G17" s="489"/>
      <c r="H17" s="489"/>
      <c r="I17" s="489"/>
      <c r="J17" s="489"/>
      <c r="K17" s="489"/>
      <c r="L17" s="489"/>
      <c r="M17" s="489"/>
      <c r="N17" s="489"/>
      <c r="O17" s="489"/>
      <c r="P17" s="489"/>
      <c r="Q17" s="489"/>
      <c r="R17" s="489"/>
      <c r="S17" s="489"/>
      <c r="T17" s="489"/>
    </row>
    <row r="18" spans="1:5" ht="32.25" customHeight="1">
      <c r="A18" s="490">
        <f>IF('Effektiv rente serielån'!$D$9=1,"","(1+r)")</f>
      </c>
      <c r="B18" s="490"/>
      <c r="C18" s="371">
        <f>IF('Effektiv rente serielån'!$D$9=1,"",'Effektiv rente serielån'!$D$9)</f>
      </c>
      <c r="D18" s="406">
        <f>IF('Effektiv rente serielån'!$D$9=1,"","-1")</f>
      </c>
      <c r="E18" s="115">
        <f>IF('Effektiv rente serielån'!$D$9=1,"",CONCATENATE("="," Årlig rente"))</f>
      </c>
    </row>
    <row r="19" spans="1:20" ht="23.25" customHeight="1">
      <c r="A19" s="407">
        <f>IF('Effektiv rente serielån'!$D$9=1,"","Ved at indsætte fås:")</f>
      </c>
      <c r="B19" s="407"/>
      <c r="C19" s="407"/>
      <c r="D19" s="407"/>
      <c r="E19" s="407"/>
      <c r="F19" s="407"/>
      <c r="G19" s="407"/>
      <c r="H19" s="108"/>
      <c r="I19" s="108"/>
      <c r="J19" s="108"/>
      <c r="K19" s="108"/>
      <c r="L19" s="108"/>
      <c r="M19" s="108"/>
      <c r="N19" s="108"/>
      <c r="O19" s="108"/>
      <c r="P19" s="108"/>
      <c r="Q19" s="108"/>
      <c r="R19" s="108"/>
      <c r="S19" s="108"/>
      <c r="T19" s="108"/>
    </row>
    <row r="20" spans="1:5" ht="30" customHeight="1">
      <c r="A20" s="492">
        <f>IF('Effektiv rente serielån'!D9=1,"",CONCATENATE("(1+",ROUND(E15,4),")"))</f>
      </c>
      <c r="B20" s="492"/>
      <c r="C20" s="371">
        <f>IF('Effektiv rente serielån'!$D$9=1,"",'Effektiv rente serielån'!$D$9)</f>
      </c>
      <c r="D20" s="406">
        <f>IF('Effektiv rente serielån'!$D$9=1,"","-1")</f>
      </c>
      <c r="E20" s="115">
        <f>IF('Effektiv rente serielån'!$D$9=1,"",CONCATENATE("="," Årlig rente"))</f>
      </c>
    </row>
    <row r="21" spans="1:5" ht="30.75" customHeight="1">
      <c r="A21" s="467">
        <f>IF('Effektiv rente serielån'!D9=1,"",'Effektiv rente serielån'!D15)</f>
      </c>
      <c r="B21" s="467"/>
      <c r="C21" s="467"/>
      <c r="D21" s="467"/>
      <c r="E21" s="115">
        <f>E20</f>
      </c>
    </row>
    <row r="22" spans="1:5" ht="18">
      <c r="A22" s="442">
        <f>IF('Effektiv rente serielån'!D9=1,"","Eller udtrykt i %:")</f>
      </c>
      <c r="B22" s="442"/>
      <c r="C22" s="442"/>
      <c r="D22" s="442"/>
      <c r="E22" s="442"/>
    </row>
    <row r="23" spans="1:6" ht="24" customHeight="1">
      <c r="A23" s="440">
        <f>IF('Effektiv rente serielån'!$D$9=1,"",CONCATENATE("Årlig rente = ",ROUND('Effektiv rente serielån'!D15*100,2),"%"))</f>
      </c>
      <c r="B23" s="440"/>
      <c r="C23" s="440"/>
      <c r="D23" s="440"/>
      <c r="E23" s="440"/>
      <c r="F23" s="440"/>
    </row>
  </sheetData>
  <mergeCells count="80">
    <mergeCell ref="A4:D4"/>
    <mergeCell ref="A5:D5"/>
    <mergeCell ref="A6:D6"/>
    <mergeCell ref="A8:D8"/>
    <mergeCell ref="A1:BA1"/>
    <mergeCell ref="E6:H6"/>
    <mergeCell ref="N6:R6"/>
    <mergeCell ref="X4:AB4"/>
    <mergeCell ref="X5:AB5"/>
    <mergeCell ref="X6:AB6"/>
    <mergeCell ref="AR4:AV4"/>
    <mergeCell ref="A2:BA2"/>
    <mergeCell ref="S4:W4"/>
    <mergeCell ref="S5:W5"/>
    <mergeCell ref="A23:F23"/>
    <mergeCell ref="A14:E14"/>
    <mergeCell ref="A17:T17"/>
    <mergeCell ref="A18:B18"/>
    <mergeCell ref="A15:B15"/>
    <mergeCell ref="A20:B20"/>
    <mergeCell ref="A22:E22"/>
    <mergeCell ref="A21:D21"/>
    <mergeCell ref="A10:BA10"/>
    <mergeCell ref="E8:H8"/>
    <mergeCell ref="I8:M8"/>
    <mergeCell ref="N8:R8"/>
    <mergeCell ref="S8:W8"/>
    <mergeCell ref="A11:B11"/>
    <mergeCell ref="A13:B13"/>
    <mergeCell ref="A12:BA12"/>
    <mergeCell ref="E3:G3"/>
    <mergeCell ref="I4:M4"/>
    <mergeCell ref="I5:M5"/>
    <mergeCell ref="I6:M6"/>
    <mergeCell ref="I3:L3"/>
    <mergeCell ref="E4:H4"/>
    <mergeCell ref="E5:H5"/>
    <mergeCell ref="S3:V3"/>
    <mergeCell ref="N4:R4"/>
    <mergeCell ref="N5:R5"/>
    <mergeCell ref="S7:W7"/>
    <mergeCell ref="N3:Q3"/>
    <mergeCell ref="S6:W6"/>
    <mergeCell ref="AH4:AL4"/>
    <mergeCell ref="AM4:AQ4"/>
    <mergeCell ref="AM7:AQ7"/>
    <mergeCell ref="AH7:AL7"/>
    <mergeCell ref="AW4:BA4"/>
    <mergeCell ref="AC5:AG5"/>
    <mergeCell ref="AC6:AG6"/>
    <mergeCell ref="AC8:AG8"/>
    <mergeCell ref="AH5:AL5"/>
    <mergeCell ref="AH6:AL6"/>
    <mergeCell ref="AH8:AL8"/>
    <mergeCell ref="AM5:AQ5"/>
    <mergeCell ref="AM6:AQ6"/>
    <mergeCell ref="AM8:AQ8"/>
    <mergeCell ref="AR6:AV6"/>
    <mergeCell ref="AR8:AV8"/>
    <mergeCell ref="AW5:BA5"/>
    <mergeCell ref="AW6:BA6"/>
    <mergeCell ref="AW8:BA8"/>
    <mergeCell ref="AR7:AV7"/>
    <mergeCell ref="AW7:BA7"/>
    <mergeCell ref="AH3:AK3"/>
    <mergeCell ref="A9:BA9"/>
    <mergeCell ref="AR3:AU3"/>
    <mergeCell ref="AW3:AZ3"/>
    <mergeCell ref="A7:C7"/>
    <mergeCell ref="E7:H7"/>
    <mergeCell ref="I7:M7"/>
    <mergeCell ref="N7:R7"/>
    <mergeCell ref="AM3:AP3"/>
    <mergeCell ref="AR5:AV5"/>
    <mergeCell ref="X3:AA3"/>
    <mergeCell ref="AC3:AF3"/>
    <mergeCell ref="X8:AB8"/>
    <mergeCell ref="AC4:AG4"/>
    <mergeCell ref="X7:AB7"/>
    <mergeCell ref="AC7:AG7"/>
  </mergeCells>
  <printOptions/>
  <pageMargins left="0.3937007874015748" right="0.3937007874015748" top="0.984251968503937" bottom="0.984251968503937" header="0" footer="0"/>
  <pageSetup fitToHeight="1" fitToWidth="1"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dimension ref="A1:K381"/>
  <sheetViews>
    <sheetView zoomScale="150" zoomScaleNormal="150" workbookViewId="0" topLeftCell="A1">
      <selection activeCell="A4" sqref="A4:D4"/>
    </sheetView>
  </sheetViews>
  <sheetFormatPr defaultColWidth="9.140625" defaultRowHeight="12.75"/>
  <cols>
    <col min="1" max="1" width="6.140625" style="0" customWidth="1"/>
    <col min="2" max="2" width="14.421875" style="0" customWidth="1"/>
    <col min="3" max="3" width="15.00390625" style="0" customWidth="1"/>
    <col min="4" max="4" width="16.7109375" style="0" customWidth="1"/>
    <col min="5" max="5" width="11.7109375" style="0" customWidth="1"/>
    <col min="6" max="6" width="12.421875" style="0" customWidth="1"/>
    <col min="7" max="7" width="14.421875" style="0" customWidth="1"/>
  </cols>
  <sheetData>
    <row r="1" spans="1:7" ht="27" thickBot="1">
      <c r="A1" s="446" t="s">
        <v>351</v>
      </c>
      <c r="B1" s="447"/>
      <c r="C1" s="447"/>
      <c r="D1" s="447"/>
      <c r="E1" s="447"/>
      <c r="F1" s="447"/>
      <c r="G1" s="448"/>
    </row>
    <row r="2" spans="1:7" ht="12.75">
      <c r="A2" s="449" t="s">
        <v>308</v>
      </c>
      <c r="B2" s="450"/>
      <c r="C2" s="450"/>
      <c r="D2" s="408">
        <v>1020000</v>
      </c>
      <c r="E2" s="87"/>
      <c r="F2" s="87"/>
      <c r="G2" s="326"/>
    </row>
    <row r="3" spans="1:7" ht="12.75" hidden="1">
      <c r="A3" s="22" t="s">
        <v>279</v>
      </c>
      <c r="B3" s="87"/>
      <c r="C3" s="87"/>
      <c r="D3" s="409">
        <f>D2*-1</f>
        <v>-1020000</v>
      </c>
      <c r="E3" s="87"/>
      <c r="F3" s="87"/>
      <c r="G3" s="326"/>
    </row>
    <row r="4" spans="1:7" ht="12.75">
      <c r="A4" s="451" t="s">
        <v>309</v>
      </c>
      <c r="B4" s="452"/>
      <c r="C4" s="452"/>
      <c r="D4" s="410">
        <v>96.5</v>
      </c>
      <c r="E4" s="87"/>
      <c r="F4" s="87"/>
      <c r="G4" s="326"/>
    </row>
    <row r="5" spans="1:7" ht="12.75">
      <c r="A5" s="497" t="s">
        <v>342</v>
      </c>
      <c r="B5" s="498"/>
      <c r="C5" s="498"/>
      <c r="D5" s="411">
        <v>10000</v>
      </c>
      <c r="E5" s="87"/>
      <c r="F5" s="87"/>
      <c r="G5" s="326"/>
    </row>
    <row r="6" spans="1:7" ht="13.5" thickBot="1">
      <c r="A6" s="497" t="s">
        <v>311</v>
      </c>
      <c r="B6" s="498"/>
      <c r="C6" s="498"/>
      <c r="D6" s="380">
        <f>(D2*(D4/100))-D5</f>
        <v>974300</v>
      </c>
      <c r="E6" s="87"/>
      <c r="F6" s="87"/>
      <c r="G6" s="326"/>
    </row>
    <row r="7" spans="1:7" ht="13.5" thickTop="1">
      <c r="A7" s="497" t="s">
        <v>312</v>
      </c>
      <c r="B7" s="498"/>
      <c r="C7" s="498"/>
      <c r="D7" s="412">
        <v>0.065</v>
      </c>
      <c r="E7" s="87"/>
      <c r="F7" s="87"/>
      <c r="G7" s="326"/>
    </row>
    <row r="8" spans="1:7" ht="12.75">
      <c r="A8" s="497" t="s">
        <v>313</v>
      </c>
      <c r="B8" s="498"/>
      <c r="C8" s="498"/>
      <c r="D8" s="413">
        <v>4</v>
      </c>
      <c r="E8" s="87"/>
      <c r="F8" s="87"/>
      <c r="G8" s="326"/>
    </row>
    <row r="9" spans="1:7" ht="12.75">
      <c r="A9" s="497" t="s">
        <v>314</v>
      </c>
      <c r="B9" s="498"/>
      <c r="C9" s="498"/>
      <c r="D9" s="413">
        <v>1</v>
      </c>
      <c r="E9" s="87"/>
      <c r="F9" s="87"/>
      <c r="G9" s="326"/>
    </row>
    <row r="10" spans="1:7" ht="12.75">
      <c r="A10" s="497" t="s">
        <v>315</v>
      </c>
      <c r="B10" s="498"/>
      <c r="C10" s="498"/>
      <c r="D10" s="334">
        <f>D8*D9</f>
        <v>4</v>
      </c>
      <c r="E10" s="87"/>
      <c r="F10" s="87"/>
      <c r="G10" s="326"/>
    </row>
    <row r="11" spans="1:7" ht="12.75">
      <c r="A11" s="497" t="s">
        <v>352</v>
      </c>
      <c r="B11" s="498"/>
      <c r="C11" s="498"/>
      <c r="D11" s="335">
        <f>D7/D9</f>
        <v>0.065</v>
      </c>
      <c r="E11" s="87"/>
      <c r="F11" s="87"/>
      <c r="G11" s="326"/>
    </row>
    <row r="12" spans="1:7" ht="12.75">
      <c r="A12" s="497" t="s">
        <v>299</v>
      </c>
      <c r="B12" s="498"/>
      <c r="C12" s="498"/>
      <c r="D12" s="149">
        <f>D2*D11*-1</f>
        <v>-66300</v>
      </c>
      <c r="E12" s="453" t="s">
        <v>353</v>
      </c>
      <c r="F12" s="454"/>
      <c r="G12" s="455"/>
    </row>
    <row r="13" spans="1:7" ht="12.75" hidden="1">
      <c r="A13" s="451" t="s">
        <v>319</v>
      </c>
      <c r="B13" s="452"/>
      <c r="C13" s="452"/>
      <c r="D13" s="414">
        <v>0</v>
      </c>
      <c r="E13" s="87"/>
      <c r="F13" s="87"/>
      <c r="G13" s="326"/>
    </row>
    <row r="14" spans="1:11" ht="12.75">
      <c r="A14" s="499"/>
      <c r="B14" s="500"/>
      <c r="C14" s="500"/>
      <c r="D14" s="501"/>
      <c r="E14" s="75"/>
      <c r="F14" s="75"/>
      <c r="G14" s="341"/>
      <c r="H14" s="121"/>
      <c r="I14" s="121"/>
      <c r="J14" s="121"/>
      <c r="K14" s="121"/>
    </row>
    <row r="15" spans="1:11" ht="18">
      <c r="A15" s="453" t="s">
        <v>345</v>
      </c>
      <c r="B15" s="454"/>
      <c r="C15" s="454"/>
      <c r="D15" s="415">
        <f>(POWER((RATE(D10,D12-D13,D6,D3)+1),D9))-1</f>
        <v>0.07848154365704008</v>
      </c>
      <c r="E15" s="453" t="str">
        <f>E12</f>
        <v>(Beregning: se note til stående lån)</v>
      </c>
      <c r="F15" s="454"/>
      <c r="G15" s="455"/>
      <c r="H15" s="121"/>
      <c r="I15" s="121"/>
      <c r="J15" s="121"/>
      <c r="K15" s="121"/>
    </row>
    <row r="16" spans="1:11" ht="13.5" thickBot="1">
      <c r="A16" s="459"/>
      <c r="B16" s="460"/>
      <c r="C16" s="460"/>
      <c r="D16" s="461"/>
      <c r="E16" s="75"/>
      <c r="F16" s="416"/>
      <c r="G16" s="341"/>
      <c r="H16" s="121"/>
      <c r="I16" s="121"/>
      <c r="J16" s="121"/>
      <c r="K16" s="121"/>
    </row>
    <row r="17" spans="1:11" ht="13.5" thickBot="1">
      <c r="A17" s="122"/>
      <c r="B17" s="123"/>
      <c r="C17" s="123"/>
      <c r="D17" s="123"/>
      <c r="E17" s="123"/>
      <c r="F17" s="123"/>
      <c r="G17" s="343"/>
      <c r="H17" s="121"/>
      <c r="I17" s="121"/>
      <c r="J17" s="121"/>
      <c r="K17" s="121"/>
    </row>
    <row r="18" spans="1:11" ht="12.75">
      <c r="A18" s="384" t="str">
        <f>CONCATENATE("Amortisationstabel for stående lån (",D10," terminer)")</f>
        <v>Amortisationstabel for stående lån (4 terminer)</v>
      </c>
      <c r="B18" s="75"/>
      <c r="C18" s="75"/>
      <c r="D18" s="75"/>
      <c r="E18" s="75"/>
      <c r="F18" s="75"/>
      <c r="G18" s="341"/>
      <c r="H18" s="121"/>
      <c r="I18" s="121"/>
      <c r="J18" s="121"/>
      <c r="K18" s="121"/>
    </row>
    <row r="19" spans="1:11" ht="12.75">
      <c r="A19" s="12" t="s">
        <v>321</v>
      </c>
      <c r="B19" s="75" t="s">
        <v>322</v>
      </c>
      <c r="C19" s="75" t="s">
        <v>354</v>
      </c>
      <c r="D19" s="192" t="s">
        <v>299</v>
      </c>
      <c r="E19" s="75" t="s">
        <v>325</v>
      </c>
      <c r="F19" s="75" t="s">
        <v>298</v>
      </c>
      <c r="G19" s="341" t="s">
        <v>326</v>
      </c>
      <c r="H19" s="121"/>
      <c r="I19" s="121"/>
      <c r="J19" s="121"/>
      <c r="K19" s="121"/>
    </row>
    <row r="20" spans="1:11" ht="12.75">
      <c r="A20" s="12">
        <v>1</v>
      </c>
      <c r="B20" s="131">
        <f>D2</f>
        <v>1020000</v>
      </c>
      <c r="C20" s="131">
        <f>IF(D20=0,0,D20+$D$13)</f>
        <v>66300</v>
      </c>
      <c r="D20" s="131">
        <f>E20+F20</f>
        <v>66300</v>
      </c>
      <c r="E20" s="131">
        <f>D12*-1</f>
        <v>66300</v>
      </c>
      <c r="F20" s="148">
        <f aca="true" t="shared" si="0" ref="F20:F83">IF(A20=$D$10,$D$2,0)</f>
        <v>0</v>
      </c>
      <c r="G20" s="132">
        <f aca="true" t="shared" si="1" ref="G20:G83">B20-F20</f>
        <v>1020000</v>
      </c>
      <c r="H20" s="121"/>
      <c r="I20" s="121"/>
      <c r="J20" s="121"/>
      <c r="K20" s="121"/>
    </row>
    <row r="21" spans="1:7" ht="12.75">
      <c r="A21" s="22">
        <f aca="true" t="shared" si="2" ref="A21:A84">A20+1</f>
        <v>2</v>
      </c>
      <c r="B21" s="148">
        <f aca="true" t="shared" si="3" ref="B21:B84">B20-F20</f>
        <v>1020000</v>
      </c>
      <c r="C21" s="131">
        <f aca="true" t="shared" si="4" ref="C21:C84">IF(D21=0,0,D21+$D$13)</f>
        <v>66300</v>
      </c>
      <c r="D21" s="131">
        <f aca="true" t="shared" si="5" ref="D21:D84">E21+F21</f>
        <v>66300</v>
      </c>
      <c r="E21" s="148">
        <f aca="true" t="shared" si="6" ref="E21:E84">IF(B21&gt;0,E20,0)</f>
        <v>66300</v>
      </c>
      <c r="F21" s="148">
        <f t="shared" si="0"/>
        <v>0</v>
      </c>
      <c r="G21" s="132">
        <f t="shared" si="1"/>
        <v>1020000</v>
      </c>
    </row>
    <row r="22" spans="1:7" ht="12.75">
      <c r="A22" s="22">
        <f t="shared" si="2"/>
        <v>3</v>
      </c>
      <c r="B22" s="148">
        <f t="shared" si="3"/>
        <v>1020000</v>
      </c>
      <c r="C22" s="131">
        <f t="shared" si="4"/>
        <v>66300</v>
      </c>
      <c r="D22" s="131">
        <f t="shared" si="5"/>
        <v>66300</v>
      </c>
      <c r="E22" s="148">
        <f t="shared" si="6"/>
        <v>66300</v>
      </c>
      <c r="F22" s="148">
        <f t="shared" si="0"/>
        <v>0</v>
      </c>
      <c r="G22" s="132">
        <f t="shared" si="1"/>
        <v>1020000</v>
      </c>
    </row>
    <row r="23" spans="1:7" ht="12.75">
      <c r="A23" s="22">
        <f t="shared" si="2"/>
        <v>4</v>
      </c>
      <c r="B23" s="148">
        <f t="shared" si="3"/>
        <v>1020000</v>
      </c>
      <c r="C23" s="131">
        <f t="shared" si="4"/>
        <v>1086300</v>
      </c>
      <c r="D23" s="131">
        <f t="shared" si="5"/>
        <v>1086300</v>
      </c>
      <c r="E23" s="148">
        <f t="shared" si="6"/>
        <v>66300</v>
      </c>
      <c r="F23" s="148">
        <f t="shared" si="0"/>
        <v>1020000</v>
      </c>
      <c r="G23" s="132">
        <f t="shared" si="1"/>
        <v>0</v>
      </c>
    </row>
    <row r="24" spans="1:7" ht="12.75">
      <c r="A24" s="22">
        <f t="shared" si="2"/>
        <v>5</v>
      </c>
      <c r="B24" s="148">
        <f t="shared" si="3"/>
        <v>0</v>
      </c>
      <c r="C24" s="131">
        <f t="shared" si="4"/>
        <v>0</v>
      </c>
      <c r="D24" s="131">
        <f t="shared" si="5"/>
        <v>0</v>
      </c>
      <c r="E24" s="148">
        <f t="shared" si="6"/>
        <v>0</v>
      </c>
      <c r="F24" s="148">
        <f t="shared" si="0"/>
        <v>0</v>
      </c>
      <c r="G24" s="132">
        <f t="shared" si="1"/>
        <v>0</v>
      </c>
    </row>
    <row r="25" spans="1:7" ht="12.75">
      <c r="A25" s="22">
        <f t="shared" si="2"/>
        <v>6</v>
      </c>
      <c r="B25" s="148">
        <f t="shared" si="3"/>
        <v>0</v>
      </c>
      <c r="C25" s="131">
        <f t="shared" si="4"/>
        <v>0</v>
      </c>
      <c r="D25" s="131">
        <f t="shared" si="5"/>
        <v>0</v>
      </c>
      <c r="E25" s="148">
        <f t="shared" si="6"/>
        <v>0</v>
      </c>
      <c r="F25" s="148">
        <f t="shared" si="0"/>
        <v>0</v>
      </c>
      <c r="G25" s="132">
        <f t="shared" si="1"/>
        <v>0</v>
      </c>
    </row>
    <row r="26" spans="1:7" ht="12.75">
      <c r="A26" s="22">
        <f t="shared" si="2"/>
        <v>7</v>
      </c>
      <c r="B26" s="148">
        <f t="shared" si="3"/>
        <v>0</v>
      </c>
      <c r="C26" s="131">
        <f t="shared" si="4"/>
        <v>0</v>
      </c>
      <c r="D26" s="131">
        <f t="shared" si="5"/>
        <v>0</v>
      </c>
      <c r="E26" s="148">
        <f t="shared" si="6"/>
        <v>0</v>
      </c>
      <c r="F26" s="148">
        <f t="shared" si="0"/>
        <v>0</v>
      </c>
      <c r="G26" s="132">
        <f t="shared" si="1"/>
        <v>0</v>
      </c>
    </row>
    <row r="27" spans="1:7" ht="12.75">
      <c r="A27" s="22">
        <f t="shared" si="2"/>
        <v>8</v>
      </c>
      <c r="B27" s="148">
        <f t="shared" si="3"/>
        <v>0</v>
      </c>
      <c r="C27" s="131">
        <f t="shared" si="4"/>
        <v>0</v>
      </c>
      <c r="D27" s="131">
        <f t="shared" si="5"/>
        <v>0</v>
      </c>
      <c r="E27" s="148">
        <f t="shared" si="6"/>
        <v>0</v>
      </c>
      <c r="F27" s="148">
        <f t="shared" si="0"/>
        <v>0</v>
      </c>
      <c r="G27" s="132">
        <f t="shared" si="1"/>
        <v>0</v>
      </c>
    </row>
    <row r="28" spans="1:7" ht="12.75">
      <c r="A28" s="22">
        <f t="shared" si="2"/>
        <v>9</v>
      </c>
      <c r="B28" s="148">
        <f t="shared" si="3"/>
        <v>0</v>
      </c>
      <c r="C28" s="131">
        <f t="shared" si="4"/>
        <v>0</v>
      </c>
      <c r="D28" s="131">
        <f t="shared" si="5"/>
        <v>0</v>
      </c>
      <c r="E28" s="148">
        <f t="shared" si="6"/>
        <v>0</v>
      </c>
      <c r="F28" s="148">
        <f t="shared" si="0"/>
        <v>0</v>
      </c>
      <c r="G28" s="132">
        <f t="shared" si="1"/>
        <v>0</v>
      </c>
    </row>
    <row r="29" spans="1:7" ht="12.75">
      <c r="A29" s="22">
        <f t="shared" si="2"/>
        <v>10</v>
      </c>
      <c r="B29" s="148">
        <f t="shared" si="3"/>
        <v>0</v>
      </c>
      <c r="C29" s="131">
        <f t="shared" si="4"/>
        <v>0</v>
      </c>
      <c r="D29" s="131">
        <f t="shared" si="5"/>
        <v>0</v>
      </c>
      <c r="E29" s="148">
        <f t="shared" si="6"/>
        <v>0</v>
      </c>
      <c r="F29" s="148">
        <f t="shared" si="0"/>
        <v>0</v>
      </c>
      <c r="G29" s="132">
        <f t="shared" si="1"/>
        <v>0</v>
      </c>
    </row>
    <row r="30" spans="1:7" ht="12.75">
      <c r="A30" s="22">
        <f t="shared" si="2"/>
        <v>11</v>
      </c>
      <c r="B30" s="148">
        <f t="shared" si="3"/>
        <v>0</v>
      </c>
      <c r="C30" s="131">
        <f t="shared" si="4"/>
        <v>0</v>
      </c>
      <c r="D30" s="131">
        <f t="shared" si="5"/>
        <v>0</v>
      </c>
      <c r="E30" s="148">
        <f t="shared" si="6"/>
        <v>0</v>
      </c>
      <c r="F30" s="148">
        <f t="shared" si="0"/>
        <v>0</v>
      </c>
      <c r="G30" s="132">
        <f t="shared" si="1"/>
        <v>0</v>
      </c>
    </row>
    <row r="31" spans="1:7" ht="12.75">
      <c r="A31" s="22">
        <f t="shared" si="2"/>
        <v>12</v>
      </c>
      <c r="B31" s="148">
        <f t="shared" si="3"/>
        <v>0</v>
      </c>
      <c r="C31" s="131">
        <f t="shared" si="4"/>
        <v>0</v>
      </c>
      <c r="D31" s="131">
        <f t="shared" si="5"/>
        <v>0</v>
      </c>
      <c r="E31" s="148">
        <f t="shared" si="6"/>
        <v>0</v>
      </c>
      <c r="F31" s="148">
        <f t="shared" si="0"/>
        <v>0</v>
      </c>
      <c r="G31" s="132">
        <f t="shared" si="1"/>
        <v>0</v>
      </c>
    </row>
    <row r="32" spans="1:7" ht="12.75">
      <c r="A32" s="22">
        <f t="shared" si="2"/>
        <v>13</v>
      </c>
      <c r="B32" s="148">
        <f t="shared" si="3"/>
        <v>0</v>
      </c>
      <c r="C32" s="131">
        <f t="shared" si="4"/>
        <v>0</v>
      </c>
      <c r="D32" s="131">
        <f t="shared" si="5"/>
        <v>0</v>
      </c>
      <c r="E32" s="148">
        <f t="shared" si="6"/>
        <v>0</v>
      </c>
      <c r="F32" s="148">
        <f t="shared" si="0"/>
        <v>0</v>
      </c>
      <c r="G32" s="132">
        <f t="shared" si="1"/>
        <v>0</v>
      </c>
    </row>
    <row r="33" spans="1:7" ht="12.75">
      <c r="A33" s="22">
        <f t="shared" si="2"/>
        <v>14</v>
      </c>
      <c r="B33" s="148">
        <f t="shared" si="3"/>
        <v>0</v>
      </c>
      <c r="C33" s="131">
        <f t="shared" si="4"/>
        <v>0</v>
      </c>
      <c r="D33" s="131">
        <f t="shared" si="5"/>
        <v>0</v>
      </c>
      <c r="E33" s="148">
        <f t="shared" si="6"/>
        <v>0</v>
      </c>
      <c r="F33" s="148">
        <f t="shared" si="0"/>
        <v>0</v>
      </c>
      <c r="G33" s="132">
        <f t="shared" si="1"/>
        <v>0</v>
      </c>
    </row>
    <row r="34" spans="1:7" ht="12.75">
      <c r="A34" s="22">
        <f t="shared" si="2"/>
        <v>15</v>
      </c>
      <c r="B34" s="148">
        <f t="shared" si="3"/>
        <v>0</v>
      </c>
      <c r="C34" s="131">
        <f t="shared" si="4"/>
        <v>0</v>
      </c>
      <c r="D34" s="131">
        <f t="shared" si="5"/>
        <v>0</v>
      </c>
      <c r="E34" s="148">
        <f t="shared" si="6"/>
        <v>0</v>
      </c>
      <c r="F34" s="148">
        <f t="shared" si="0"/>
        <v>0</v>
      </c>
      <c r="G34" s="132">
        <f t="shared" si="1"/>
        <v>0</v>
      </c>
    </row>
    <row r="35" spans="1:7" ht="12.75">
      <c r="A35" s="22">
        <f t="shared" si="2"/>
        <v>16</v>
      </c>
      <c r="B35" s="148">
        <f t="shared" si="3"/>
        <v>0</v>
      </c>
      <c r="C35" s="131">
        <f t="shared" si="4"/>
        <v>0</v>
      </c>
      <c r="D35" s="131">
        <f t="shared" si="5"/>
        <v>0</v>
      </c>
      <c r="E35" s="148">
        <f t="shared" si="6"/>
        <v>0</v>
      </c>
      <c r="F35" s="148">
        <f t="shared" si="0"/>
        <v>0</v>
      </c>
      <c r="G35" s="132">
        <f t="shared" si="1"/>
        <v>0</v>
      </c>
    </row>
    <row r="36" spans="1:7" ht="12.75">
      <c r="A36" s="22">
        <f t="shared" si="2"/>
        <v>17</v>
      </c>
      <c r="B36" s="148">
        <f t="shared" si="3"/>
        <v>0</v>
      </c>
      <c r="C36" s="131">
        <f t="shared" si="4"/>
        <v>0</v>
      </c>
      <c r="D36" s="131">
        <f t="shared" si="5"/>
        <v>0</v>
      </c>
      <c r="E36" s="148">
        <f t="shared" si="6"/>
        <v>0</v>
      </c>
      <c r="F36" s="148">
        <f t="shared" si="0"/>
        <v>0</v>
      </c>
      <c r="G36" s="132">
        <f t="shared" si="1"/>
        <v>0</v>
      </c>
    </row>
    <row r="37" spans="1:7" ht="12.75">
      <c r="A37" s="22">
        <f t="shared" si="2"/>
        <v>18</v>
      </c>
      <c r="B37" s="148">
        <f t="shared" si="3"/>
        <v>0</v>
      </c>
      <c r="C37" s="131">
        <f t="shared" si="4"/>
        <v>0</v>
      </c>
      <c r="D37" s="131">
        <f t="shared" si="5"/>
        <v>0</v>
      </c>
      <c r="E37" s="148">
        <f t="shared" si="6"/>
        <v>0</v>
      </c>
      <c r="F37" s="148">
        <f t="shared" si="0"/>
        <v>0</v>
      </c>
      <c r="G37" s="132">
        <f t="shared" si="1"/>
        <v>0</v>
      </c>
    </row>
    <row r="38" spans="1:7" ht="12.75">
      <c r="A38" s="22">
        <f t="shared" si="2"/>
        <v>19</v>
      </c>
      <c r="B38" s="148">
        <f t="shared" si="3"/>
        <v>0</v>
      </c>
      <c r="C38" s="131">
        <f t="shared" si="4"/>
        <v>0</v>
      </c>
      <c r="D38" s="131">
        <f t="shared" si="5"/>
        <v>0</v>
      </c>
      <c r="E38" s="148">
        <f t="shared" si="6"/>
        <v>0</v>
      </c>
      <c r="F38" s="148">
        <f t="shared" si="0"/>
        <v>0</v>
      </c>
      <c r="G38" s="132">
        <f t="shared" si="1"/>
        <v>0</v>
      </c>
    </row>
    <row r="39" spans="1:7" ht="12.75">
      <c r="A39" s="22">
        <f t="shared" si="2"/>
        <v>20</v>
      </c>
      <c r="B39" s="148">
        <f t="shared" si="3"/>
        <v>0</v>
      </c>
      <c r="C39" s="131">
        <f t="shared" si="4"/>
        <v>0</v>
      </c>
      <c r="D39" s="131">
        <f t="shared" si="5"/>
        <v>0</v>
      </c>
      <c r="E39" s="148">
        <f t="shared" si="6"/>
        <v>0</v>
      </c>
      <c r="F39" s="148">
        <f t="shared" si="0"/>
        <v>0</v>
      </c>
      <c r="G39" s="132">
        <f t="shared" si="1"/>
        <v>0</v>
      </c>
    </row>
    <row r="40" spans="1:7" ht="12.75">
      <c r="A40" s="22">
        <f t="shared" si="2"/>
        <v>21</v>
      </c>
      <c r="B40" s="148">
        <f t="shared" si="3"/>
        <v>0</v>
      </c>
      <c r="C40" s="131">
        <f t="shared" si="4"/>
        <v>0</v>
      </c>
      <c r="D40" s="131">
        <f t="shared" si="5"/>
        <v>0</v>
      </c>
      <c r="E40" s="148">
        <f t="shared" si="6"/>
        <v>0</v>
      </c>
      <c r="F40" s="148">
        <f t="shared" si="0"/>
        <v>0</v>
      </c>
      <c r="G40" s="132">
        <f t="shared" si="1"/>
        <v>0</v>
      </c>
    </row>
    <row r="41" spans="1:7" ht="12.75">
      <c r="A41" s="22">
        <f t="shared" si="2"/>
        <v>22</v>
      </c>
      <c r="B41" s="148">
        <f t="shared" si="3"/>
        <v>0</v>
      </c>
      <c r="C41" s="131">
        <f t="shared" si="4"/>
        <v>0</v>
      </c>
      <c r="D41" s="131">
        <f t="shared" si="5"/>
        <v>0</v>
      </c>
      <c r="E41" s="148">
        <f t="shared" si="6"/>
        <v>0</v>
      </c>
      <c r="F41" s="148">
        <f t="shared" si="0"/>
        <v>0</v>
      </c>
      <c r="G41" s="132">
        <f t="shared" si="1"/>
        <v>0</v>
      </c>
    </row>
    <row r="42" spans="1:7" ht="12.75">
      <c r="A42" s="22">
        <f t="shared" si="2"/>
        <v>23</v>
      </c>
      <c r="B42" s="148">
        <f t="shared" si="3"/>
        <v>0</v>
      </c>
      <c r="C42" s="131">
        <f t="shared" si="4"/>
        <v>0</v>
      </c>
      <c r="D42" s="131">
        <f t="shared" si="5"/>
        <v>0</v>
      </c>
      <c r="E42" s="148">
        <f t="shared" si="6"/>
        <v>0</v>
      </c>
      <c r="F42" s="148">
        <f t="shared" si="0"/>
        <v>0</v>
      </c>
      <c r="G42" s="132">
        <f t="shared" si="1"/>
        <v>0</v>
      </c>
    </row>
    <row r="43" spans="1:7" ht="12.75">
      <c r="A43" s="22">
        <f t="shared" si="2"/>
        <v>24</v>
      </c>
      <c r="B43" s="148">
        <f t="shared" si="3"/>
        <v>0</v>
      </c>
      <c r="C43" s="131">
        <f t="shared" si="4"/>
        <v>0</v>
      </c>
      <c r="D43" s="131">
        <f t="shared" si="5"/>
        <v>0</v>
      </c>
      <c r="E43" s="148">
        <f t="shared" si="6"/>
        <v>0</v>
      </c>
      <c r="F43" s="148">
        <f t="shared" si="0"/>
        <v>0</v>
      </c>
      <c r="G43" s="132">
        <f t="shared" si="1"/>
        <v>0</v>
      </c>
    </row>
    <row r="44" spans="1:7" ht="12.75">
      <c r="A44" s="22">
        <f t="shared" si="2"/>
        <v>25</v>
      </c>
      <c r="B44" s="148">
        <f t="shared" si="3"/>
        <v>0</v>
      </c>
      <c r="C44" s="131">
        <f t="shared" si="4"/>
        <v>0</v>
      </c>
      <c r="D44" s="131">
        <f t="shared" si="5"/>
        <v>0</v>
      </c>
      <c r="E44" s="148">
        <f t="shared" si="6"/>
        <v>0</v>
      </c>
      <c r="F44" s="148">
        <f t="shared" si="0"/>
        <v>0</v>
      </c>
      <c r="G44" s="132">
        <f t="shared" si="1"/>
        <v>0</v>
      </c>
    </row>
    <row r="45" spans="1:7" ht="12.75">
      <c r="A45" s="22">
        <f t="shared" si="2"/>
        <v>26</v>
      </c>
      <c r="B45" s="148">
        <f t="shared" si="3"/>
        <v>0</v>
      </c>
      <c r="C45" s="131">
        <f t="shared" si="4"/>
        <v>0</v>
      </c>
      <c r="D45" s="131">
        <f t="shared" si="5"/>
        <v>0</v>
      </c>
      <c r="E45" s="148">
        <f t="shared" si="6"/>
        <v>0</v>
      </c>
      <c r="F45" s="148">
        <f t="shared" si="0"/>
        <v>0</v>
      </c>
      <c r="G45" s="132">
        <f t="shared" si="1"/>
        <v>0</v>
      </c>
    </row>
    <row r="46" spans="1:7" ht="12.75">
      <c r="A46" s="22">
        <f t="shared" si="2"/>
        <v>27</v>
      </c>
      <c r="B46" s="148">
        <f t="shared" si="3"/>
        <v>0</v>
      </c>
      <c r="C46" s="131">
        <f t="shared" si="4"/>
        <v>0</v>
      </c>
      <c r="D46" s="131">
        <f t="shared" si="5"/>
        <v>0</v>
      </c>
      <c r="E46" s="148">
        <f t="shared" si="6"/>
        <v>0</v>
      </c>
      <c r="F46" s="148">
        <f t="shared" si="0"/>
        <v>0</v>
      </c>
      <c r="G46" s="132">
        <f t="shared" si="1"/>
        <v>0</v>
      </c>
    </row>
    <row r="47" spans="1:7" ht="12.75">
      <c r="A47" s="22">
        <f t="shared" si="2"/>
        <v>28</v>
      </c>
      <c r="B47" s="148">
        <f t="shared" si="3"/>
        <v>0</v>
      </c>
      <c r="C47" s="131">
        <f t="shared" si="4"/>
        <v>0</v>
      </c>
      <c r="D47" s="131">
        <f t="shared" si="5"/>
        <v>0</v>
      </c>
      <c r="E47" s="148">
        <f t="shared" si="6"/>
        <v>0</v>
      </c>
      <c r="F47" s="148">
        <f t="shared" si="0"/>
        <v>0</v>
      </c>
      <c r="G47" s="132">
        <f t="shared" si="1"/>
        <v>0</v>
      </c>
    </row>
    <row r="48" spans="1:7" ht="12.75">
      <c r="A48" s="22">
        <f t="shared" si="2"/>
        <v>29</v>
      </c>
      <c r="B48" s="148">
        <f t="shared" si="3"/>
        <v>0</v>
      </c>
      <c r="C48" s="131">
        <f t="shared" si="4"/>
        <v>0</v>
      </c>
      <c r="D48" s="131">
        <f t="shared" si="5"/>
        <v>0</v>
      </c>
      <c r="E48" s="148">
        <f t="shared" si="6"/>
        <v>0</v>
      </c>
      <c r="F48" s="148">
        <f t="shared" si="0"/>
        <v>0</v>
      </c>
      <c r="G48" s="132">
        <f t="shared" si="1"/>
        <v>0</v>
      </c>
    </row>
    <row r="49" spans="1:7" ht="12.75">
      <c r="A49" s="22">
        <f t="shared" si="2"/>
        <v>30</v>
      </c>
      <c r="B49" s="148">
        <f t="shared" si="3"/>
        <v>0</v>
      </c>
      <c r="C49" s="131">
        <f t="shared" si="4"/>
        <v>0</v>
      </c>
      <c r="D49" s="131">
        <f t="shared" si="5"/>
        <v>0</v>
      </c>
      <c r="E49" s="148">
        <f t="shared" si="6"/>
        <v>0</v>
      </c>
      <c r="F49" s="148">
        <f t="shared" si="0"/>
        <v>0</v>
      </c>
      <c r="G49" s="132">
        <f t="shared" si="1"/>
        <v>0</v>
      </c>
    </row>
    <row r="50" spans="1:7" ht="12.75">
      <c r="A50" s="22">
        <f t="shared" si="2"/>
        <v>31</v>
      </c>
      <c r="B50" s="148">
        <f t="shared" si="3"/>
        <v>0</v>
      </c>
      <c r="C50" s="131">
        <f t="shared" si="4"/>
        <v>0</v>
      </c>
      <c r="D50" s="131">
        <f t="shared" si="5"/>
        <v>0</v>
      </c>
      <c r="E50" s="148">
        <f t="shared" si="6"/>
        <v>0</v>
      </c>
      <c r="F50" s="148">
        <f t="shared" si="0"/>
        <v>0</v>
      </c>
      <c r="G50" s="132">
        <f t="shared" si="1"/>
        <v>0</v>
      </c>
    </row>
    <row r="51" spans="1:7" ht="12.75">
      <c r="A51" s="22">
        <f t="shared" si="2"/>
        <v>32</v>
      </c>
      <c r="B51" s="148">
        <f t="shared" si="3"/>
        <v>0</v>
      </c>
      <c r="C51" s="131">
        <f t="shared" si="4"/>
        <v>0</v>
      </c>
      <c r="D51" s="131">
        <f t="shared" si="5"/>
        <v>0</v>
      </c>
      <c r="E51" s="148">
        <f t="shared" si="6"/>
        <v>0</v>
      </c>
      <c r="F51" s="148">
        <f t="shared" si="0"/>
        <v>0</v>
      </c>
      <c r="G51" s="132">
        <f t="shared" si="1"/>
        <v>0</v>
      </c>
    </row>
    <row r="52" spans="1:7" ht="12.75">
      <c r="A52" s="22">
        <f t="shared" si="2"/>
        <v>33</v>
      </c>
      <c r="B52" s="148">
        <f t="shared" si="3"/>
        <v>0</v>
      </c>
      <c r="C52" s="131">
        <f t="shared" si="4"/>
        <v>0</v>
      </c>
      <c r="D52" s="131">
        <f t="shared" si="5"/>
        <v>0</v>
      </c>
      <c r="E52" s="148">
        <f t="shared" si="6"/>
        <v>0</v>
      </c>
      <c r="F52" s="148">
        <f t="shared" si="0"/>
        <v>0</v>
      </c>
      <c r="G52" s="132">
        <f t="shared" si="1"/>
        <v>0</v>
      </c>
    </row>
    <row r="53" spans="1:7" ht="12.75">
      <c r="A53" s="22">
        <f t="shared" si="2"/>
        <v>34</v>
      </c>
      <c r="B53" s="148">
        <f t="shared" si="3"/>
        <v>0</v>
      </c>
      <c r="C53" s="131">
        <f t="shared" si="4"/>
        <v>0</v>
      </c>
      <c r="D53" s="131">
        <f t="shared" si="5"/>
        <v>0</v>
      </c>
      <c r="E53" s="148">
        <f t="shared" si="6"/>
        <v>0</v>
      </c>
      <c r="F53" s="148">
        <f t="shared" si="0"/>
        <v>0</v>
      </c>
      <c r="G53" s="132">
        <f t="shared" si="1"/>
        <v>0</v>
      </c>
    </row>
    <row r="54" spans="1:7" ht="12.75">
      <c r="A54" s="22">
        <f t="shared" si="2"/>
        <v>35</v>
      </c>
      <c r="B54" s="148">
        <f t="shared" si="3"/>
        <v>0</v>
      </c>
      <c r="C54" s="131">
        <f t="shared" si="4"/>
        <v>0</v>
      </c>
      <c r="D54" s="131">
        <f t="shared" si="5"/>
        <v>0</v>
      </c>
      <c r="E54" s="148">
        <f t="shared" si="6"/>
        <v>0</v>
      </c>
      <c r="F54" s="148">
        <f t="shared" si="0"/>
        <v>0</v>
      </c>
      <c r="G54" s="132">
        <f t="shared" si="1"/>
        <v>0</v>
      </c>
    </row>
    <row r="55" spans="1:7" ht="12.75">
      <c r="A55" s="22">
        <f t="shared" si="2"/>
        <v>36</v>
      </c>
      <c r="B55" s="148">
        <f t="shared" si="3"/>
        <v>0</v>
      </c>
      <c r="C55" s="131">
        <f t="shared" si="4"/>
        <v>0</v>
      </c>
      <c r="D55" s="131">
        <f t="shared" si="5"/>
        <v>0</v>
      </c>
      <c r="E55" s="148">
        <f t="shared" si="6"/>
        <v>0</v>
      </c>
      <c r="F55" s="148">
        <f t="shared" si="0"/>
        <v>0</v>
      </c>
      <c r="G55" s="132">
        <f t="shared" si="1"/>
        <v>0</v>
      </c>
    </row>
    <row r="56" spans="1:7" ht="12.75">
      <c r="A56" s="22">
        <f t="shared" si="2"/>
        <v>37</v>
      </c>
      <c r="B56" s="148">
        <f t="shared" si="3"/>
        <v>0</v>
      </c>
      <c r="C56" s="131">
        <f t="shared" si="4"/>
        <v>0</v>
      </c>
      <c r="D56" s="131">
        <f t="shared" si="5"/>
        <v>0</v>
      </c>
      <c r="E56" s="148">
        <f t="shared" si="6"/>
        <v>0</v>
      </c>
      <c r="F56" s="148">
        <f t="shared" si="0"/>
        <v>0</v>
      </c>
      <c r="G56" s="132">
        <f t="shared" si="1"/>
        <v>0</v>
      </c>
    </row>
    <row r="57" spans="1:7" ht="12.75">
      <c r="A57" s="22">
        <f t="shared" si="2"/>
        <v>38</v>
      </c>
      <c r="B57" s="148">
        <f t="shared" si="3"/>
        <v>0</v>
      </c>
      <c r="C57" s="131">
        <f t="shared" si="4"/>
        <v>0</v>
      </c>
      <c r="D57" s="131">
        <f t="shared" si="5"/>
        <v>0</v>
      </c>
      <c r="E57" s="148">
        <f t="shared" si="6"/>
        <v>0</v>
      </c>
      <c r="F57" s="148">
        <f t="shared" si="0"/>
        <v>0</v>
      </c>
      <c r="G57" s="132">
        <f t="shared" si="1"/>
        <v>0</v>
      </c>
    </row>
    <row r="58" spans="1:7" ht="12.75">
      <c r="A58" s="22">
        <f t="shared" si="2"/>
        <v>39</v>
      </c>
      <c r="B58" s="148">
        <f t="shared" si="3"/>
        <v>0</v>
      </c>
      <c r="C58" s="131">
        <f t="shared" si="4"/>
        <v>0</v>
      </c>
      <c r="D58" s="131">
        <f t="shared" si="5"/>
        <v>0</v>
      </c>
      <c r="E58" s="148">
        <f t="shared" si="6"/>
        <v>0</v>
      </c>
      <c r="F58" s="148">
        <f t="shared" si="0"/>
        <v>0</v>
      </c>
      <c r="G58" s="132">
        <f t="shared" si="1"/>
        <v>0</v>
      </c>
    </row>
    <row r="59" spans="1:7" ht="13.5" thickBot="1">
      <c r="A59" s="22">
        <f t="shared" si="2"/>
        <v>40</v>
      </c>
      <c r="B59" s="148">
        <f t="shared" si="3"/>
        <v>0</v>
      </c>
      <c r="C59" s="131">
        <f t="shared" si="4"/>
        <v>0</v>
      </c>
      <c r="D59" s="131">
        <f t="shared" si="5"/>
        <v>0</v>
      </c>
      <c r="E59" s="148">
        <f t="shared" si="6"/>
        <v>0</v>
      </c>
      <c r="F59" s="148">
        <f t="shared" si="0"/>
        <v>0</v>
      </c>
      <c r="G59" s="132">
        <f t="shared" si="1"/>
        <v>0</v>
      </c>
    </row>
    <row r="60" spans="1:7" ht="12.75" hidden="1">
      <c r="A60" s="22">
        <f t="shared" si="2"/>
        <v>41</v>
      </c>
      <c r="B60" s="148">
        <f t="shared" si="3"/>
        <v>0</v>
      </c>
      <c r="C60" s="131">
        <f t="shared" si="4"/>
        <v>0</v>
      </c>
      <c r="D60" s="131">
        <f t="shared" si="5"/>
        <v>0</v>
      </c>
      <c r="E60" s="148">
        <f t="shared" si="6"/>
        <v>0</v>
      </c>
      <c r="F60" s="148">
        <f t="shared" si="0"/>
        <v>0</v>
      </c>
      <c r="G60" s="132">
        <f t="shared" si="1"/>
        <v>0</v>
      </c>
    </row>
    <row r="61" spans="1:7" ht="12.75" hidden="1">
      <c r="A61" s="22">
        <f t="shared" si="2"/>
        <v>42</v>
      </c>
      <c r="B61" s="148">
        <f t="shared" si="3"/>
        <v>0</v>
      </c>
      <c r="C61" s="131">
        <f t="shared" si="4"/>
        <v>0</v>
      </c>
      <c r="D61" s="131">
        <f t="shared" si="5"/>
        <v>0</v>
      </c>
      <c r="E61" s="148">
        <f t="shared" si="6"/>
        <v>0</v>
      </c>
      <c r="F61" s="148">
        <f t="shared" si="0"/>
        <v>0</v>
      </c>
      <c r="G61" s="132">
        <f t="shared" si="1"/>
        <v>0</v>
      </c>
    </row>
    <row r="62" spans="1:7" ht="12.75" hidden="1">
      <c r="A62" s="22">
        <f t="shared" si="2"/>
        <v>43</v>
      </c>
      <c r="B62" s="148">
        <f t="shared" si="3"/>
        <v>0</v>
      </c>
      <c r="C62" s="131">
        <f t="shared" si="4"/>
        <v>0</v>
      </c>
      <c r="D62" s="131">
        <f t="shared" si="5"/>
        <v>0</v>
      </c>
      <c r="E62" s="148">
        <f t="shared" si="6"/>
        <v>0</v>
      </c>
      <c r="F62" s="148">
        <f t="shared" si="0"/>
        <v>0</v>
      </c>
      <c r="G62" s="132">
        <f t="shared" si="1"/>
        <v>0</v>
      </c>
    </row>
    <row r="63" spans="1:7" ht="12.75" hidden="1">
      <c r="A63" s="22">
        <f t="shared" si="2"/>
        <v>44</v>
      </c>
      <c r="B63" s="148">
        <f t="shared" si="3"/>
        <v>0</v>
      </c>
      <c r="C63" s="131">
        <f t="shared" si="4"/>
        <v>0</v>
      </c>
      <c r="D63" s="131">
        <f t="shared" si="5"/>
        <v>0</v>
      </c>
      <c r="E63" s="148">
        <f t="shared" si="6"/>
        <v>0</v>
      </c>
      <c r="F63" s="148">
        <f t="shared" si="0"/>
        <v>0</v>
      </c>
      <c r="G63" s="132">
        <f t="shared" si="1"/>
        <v>0</v>
      </c>
    </row>
    <row r="64" spans="1:7" ht="12.75" hidden="1">
      <c r="A64" s="22">
        <f t="shared" si="2"/>
        <v>45</v>
      </c>
      <c r="B64" s="148">
        <f t="shared" si="3"/>
        <v>0</v>
      </c>
      <c r="C64" s="131">
        <f t="shared" si="4"/>
        <v>0</v>
      </c>
      <c r="D64" s="131">
        <f t="shared" si="5"/>
        <v>0</v>
      </c>
      <c r="E64" s="148">
        <f t="shared" si="6"/>
        <v>0</v>
      </c>
      <c r="F64" s="148">
        <f t="shared" si="0"/>
        <v>0</v>
      </c>
      <c r="G64" s="132">
        <f t="shared" si="1"/>
        <v>0</v>
      </c>
    </row>
    <row r="65" spans="1:7" ht="12.75" hidden="1">
      <c r="A65" s="22">
        <f t="shared" si="2"/>
        <v>46</v>
      </c>
      <c r="B65" s="148">
        <f t="shared" si="3"/>
        <v>0</v>
      </c>
      <c r="C65" s="131">
        <f t="shared" si="4"/>
        <v>0</v>
      </c>
      <c r="D65" s="131">
        <f t="shared" si="5"/>
        <v>0</v>
      </c>
      <c r="E65" s="148">
        <f t="shared" si="6"/>
        <v>0</v>
      </c>
      <c r="F65" s="148">
        <f t="shared" si="0"/>
        <v>0</v>
      </c>
      <c r="G65" s="132">
        <f t="shared" si="1"/>
        <v>0</v>
      </c>
    </row>
    <row r="66" spans="1:7" ht="12.75" hidden="1">
      <c r="A66" s="22">
        <f t="shared" si="2"/>
        <v>47</v>
      </c>
      <c r="B66" s="148">
        <f t="shared" si="3"/>
        <v>0</v>
      </c>
      <c r="C66" s="131">
        <f t="shared" si="4"/>
        <v>0</v>
      </c>
      <c r="D66" s="131">
        <f t="shared" si="5"/>
        <v>0</v>
      </c>
      <c r="E66" s="148">
        <f t="shared" si="6"/>
        <v>0</v>
      </c>
      <c r="F66" s="148">
        <f t="shared" si="0"/>
        <v>0</v>
      </c>
      <c r="G66" s="132">
        <f t="shared" si="1"/>
        <v>0</v>
      </c>
    </row>
    <row r="67" spans="1:7" ht="12.75" hidden="1">
      <c r="A67" s="22">
        <f t="shared" si="2"/>
        <v>48</v>
      </c>
      <c r="B67" s="148">
        <f t="shared" si="3"/>
        <v>0</v>
      </c>
      <c r="C67" s="131">
        <f t="shared" si="4"/>
        <v>0</v>
      </c>
      <c r="D67" s="131">
        <f t="shared" si="5"/>
        <v>0</v>
      </c>
      <c r="E67" s="148">
        <f t="shared" si="6"/>
        <v>0</v>
      </c>
      <c r="F67" s="148">
        <f t="shared" si="0"/>
        <v>0</v>
      </c>
      <c r="G67" s="132">
        <f t="shared" si="1"/>
        <v>0</v>
      </c>
    </row>
    <row r="68" spans="1:7" ht="12.75" hidden="1">
      <c r="A68" s="22">
        <f t="shared" si="2"/>
        <v>49</v>
      </c>
      <c r="B68" s="148">
        <f t="shared" si="3"/>
        <v>0</v>
      </c>
      <c r="C68" s="131">
        <f t="shared" si="4"/>
        <v>0</v>
      </c>
      <c r="D68" s="131">
        <f t="shared" si="5"/>
        <v>0</v>
      </c>
      <c r="E68" s="148">
        <f t="shared" si="6"/>
        <v>0</v>
      </c>
      <c r="F68" s="148">
        <f t="shared" si="0"/>
        <v>0</v>
      </c>
      <c r="G68" s="132">
        <f t="shared" si="1"/>
        <v>0</v>
      </c>
    </row>
    <row r="69" spans="1:7" ht="12.75" hidden="1">
      <c r="A69" s="22">
        <f t="shared" si="2"/>
        <v>50</v>
      </c>
      <c r="B69" s="148">
        <f t="shared" si="3"/>
        <v>0</v>
      </c>
      <c r="C69" s="131">
        <f t="shared" si="4"/>
        <v>0</v>
      </c>
      <c r="D69" s="131">
        <f t="shared" si="5"/>
        <v>0</v>
      </c>
      <c r="E69" s="148">
        <f t="shared" si="6"/>
        <v>0</v>
      </c>
      <c r="F69" s="148">
        <f t="shared" si="0"/>
        <v>0</v>
      </c>
      <c r="G69" s="132">
        <f t="shared" si="1"/>
        <v>0</v>
      </c>
    </row>
    <row r="70" spans="1:7" ht="12.75" hidden="1">
      <c r="A70" s="22">
        <f t="shared" si="2"/>
        <v>51</v>
      </c>
      <c r="B70" s="148">
        <f t="shared" si="3"/>
        <v>0</v>
      </c>
      <c r="C70" s="131">
        <f t="shared" si="4"/>
        <v>0</v>
      </c>
      <c r="D70" s="131">
        <f t="shared" si="5"/>
        <v>0</v>
      </c>
      <c r="E70" s="148">
        <f t="shared" si="6"/>
        <v>0</v>
      </c>
      <c r="F70" s="148">
        <f t="shared" si="0"/>
        <v>0</v>
      </c>
      <c r="G70" s="132">
        <f t="shared" si="1"/>
        <v>0</v>
      </c>
    </row>
    <row r="71" spans="1:7" ht="12.75" hidden="1">
      <c r="A71" s="22">
        <f t="shared" si="2"/>
        <v>52</v>
      </c>
      <c r="B71" s="148">
        <f t="shared" si="3"/>
        <v>0</v>
      </c>
      <c r="C71" s="131">
        <f t="shared" si="4"/>
        <v>0</v>
      </c>
      <c r="D71" s="131">
        <f t="shared" si="5"/>
        <v>0</v>
      </c>
      <c r="E71" s="148">
        <f t="shared" si="6"/>
        <v>0</v>
      </c>
      <c r="F71" s="148">
        <f t="shared" si="0"/>
        <v>0</v>
      </c>
      <c r="G71" s="132">
        <f t="shared" si="1"/>
        <v>0</v>
      </c>
    </row>
    <row r="72" spans="1:7" ht="12.75" hidden="1">
      <c r="A72" s="22">
        <f t="shared" si="2"/>
        <v>53</v>
      </c>
      <c r="B72" s="148">
        <f t="shared" si="3"/>
        <v>0</v>
      </c>
      <c r="C72" s="131">
        <f t="shared" si="4"/>
        <v>0</v>
      </c>
      <c r="D72" s="131">
        <f t="shared" si="5"/>
        <v>0</v>
      </c>
      <c r="E72" s="148">
        <f t="shared" si="6"/>
        <v>0</v>
      </c>
      <c r="F72" s="148">
        <f t="shared" si="0"/>
        <v>0</v>
      </c>
      <c r="G72" s="132">
        <f t="shared" si="1"/>
        <v>0</v>
      </c>
    </row>
    <row r="73" spans="1:7" ht="12.75" hidden="1">
      <c r="A73" s="22">
        <f t="shared" si="2"/>
        <v>54</v>
      </c>
      <c r="B73" s="148">
        <f t="shared" si="3"/>
        <v>0</v>
      </c>
      <c r="C73" s="131">
        <f t="shared" si="4"/>
        <v>0</v>
      </c>
      <c r="D73" s="131">
        <f t="shared" si="5"/>
        <v>0</v>
      </c>
      <c r="E73" s="148">
        <f t="shared" si="6"/>
        <v>0</v>
      </c>
      <c r="F73" s="148">
        <f t="shared" si="0"/>
        <v>0</v>
      </c>
      <c r="G73" s="132">
        <f t="shared" si="1"/>
        <v>0</v>
      </c>
    </row>
    <row r="74" spans="1:7" ht="12.75" hidden="1">
      <c r="A74" s="22">
        <f t="shared" si="2"/>
        <v>55</v>
      </c>
      <c r="B74" s="148">
        <f t="shared" si="3"/>
        <v>0</v>
      </c>
      <c r="C74" s="131">
        <f t="shared" si="4"/>
        <v>0</v>
      </c>
      <c r="D74" s="131">
        <f t="shared" si="5"/>
        <v>0</v>
      </c>
      <c r="E74" s="148">
        <f t="shared" si="6"/>
        <v>0</v>
      </c>
      <c r="F74" s="148">
        <f t="shared" si="0"/>
        <v>0</v>
      </c>
      <c r="G74" s="132">
        <f t="shared" si="1"/>
        <v>0</v>
      </c>
    </row>
    <row r="75" spans="1:7" ht="12.75" hidden="1">
      <c r="A75" s="22">
        <f t="shared" si="2"/>
        <v>56</v>
      </c>
      <c r="B75" s="148">
        <f t="shared" si="3"/>
        <v>0</v>
      </c>
      <c r="C75" s="131">
        <f t="shared" si="4"/>
        <v>0</v>
      </c>
      <c r="D75" s="131">
        <f t="shared" si="5"/>
        <v>0</v>
      </c>
      <c r="E75" s="148">
        <f t="shared" si="6"/>
        <v>0</v>
      </c>
      <c r="F75" s="148">
        <f t="shared" si="0"/>
        <v>0</v>
      </c>
      <c r="G75" s="132">
        <f t="shared" si="1"/>
        <v>0</v>
      </c>
    </row>
    <row r="76" spans="1:7" ht="12.75" hidden="1">
      <c r="A76" s="22">
        <f t="shared" si="2"/>
        <v>57</v>
      </c>
      <c r="B76" s="148">
        <f t="shared" si="3"/>
        <v>0</v>
      </c>
      <c r="C76" s="131">
        <f t="shared" si="4"/>
        <v>0</v>
      </c>
      <c r="D76" s="131">
        <f t="shared" si="5"/>
        <v>0</v>
      </c>
      <c r="E76" s="148">
        <f t="shared" si="6"/>
        <v>0</v>
      </c>
      <c r="F76" s="148">
        <f t="shared" si="0"/>
        <v>0</v>
      </c>
      <c r="G76" s="132">
        <f t="shared" si="1"/>
        <v>0</v>
      </c>
    </row>
    <row r="77" spans="1:7" ht="12.75" hidden="1">
      <c r="A77" s="22">
        <f t="shared" si="2"/>
        <v>58</v>
      </c>
      <c r="B77" s="148">
        <f t="shared" si="3"/>
        <v>0</v>
      </c>
      <c r="C77" s="131">
        <f t="shared" si="4"/>
        <v>0</v>
      </c>
      <c r="D77" s="131">
        <f t="shared" si="5"/>
        <v>0</v>
      </c>
      <c r="E77" s="148">
        <f t="shared" si="6"/>
        <v>0</v>
      </c>
      <c r="F77" s="148">
        <f t="shared" si="0"/>
        <v>0</v>
      </c>
      <c r="G77" s="132">
        <f t="shared" si="1"/>
        <v>0</v>
      </c>
    </row>
    <row r="78" spans="1:7" ht="12.75" hidden="1">
      <c r="A78" s="22">
        <f t="shared" si="2"/>
        <v>59</v>
      </c>
      <c r="B78" s="148">
        <f t="shared" si="3"/>
        <v>0</v>
      </c>
      <c r="C78" s="131">
        <f t="shared" si="4"/>
        <v>0</v>
      </c>
      <c r="D78" s="131">
        <f t="shared" si="5"/>
        <v>0</v>
      </c>
      <c r="E78" s="148">
        <f t="shared" si="6"/>
        <v>0</v>
      </c>
      <c r="F78" s="148">
        <f t="shared" si="0"/>
        <v>0</v>
      </c>
      <c r="G78" s="132">
        <f t="shared" si="1"/>
        <v>0</v>
      </c>
    </row>
    <row r="79" spans="1:7" ht="12.75" hidden="1">
      <c r="A79" s="22">
        <f t="shared" si="2"/>
        <v>60</v>
      </c>
      <c r="B79" s="148">
        <f t="shared" si="3"/>
        <v>0</v>
      </c>
      <c r="C79" s="131">
        <f t="shared" si="4"/>
        <v>0</v>
      </c>
      <c r="D79" s="131">
        <f t="shared" si="5"/>
        <v>0</v>
      </c>
      <c r="E79" s="148">
        <f t="shared" si="6"/>
        <v>0</v>
      </c>
      <c r="F79" s="148">
        <f t="shared" si="0"/>
        <v>0</v>
      </c>
      <c r="G79" s="132">
        <f t="shared" si="1"/>
        <v>0</v>
      </c>
    </row>
    <row r="80" spans="1:7" ht="12.75" hidden="1">
      <c r="A80" s="22">
        <f t="shared" si="2"/>
        <v>61</v>
      </c>
      <c r="B80" s="148">
        <f t="shared" si="3"/>
        <v>0</v>
      </c>
      <c r="C80" s="131">
        <f t="shared" si="4"/>
        <v>0</v>
      </c>
      <c r="D80" s="131">
        <f t="shared" si="5"/>
        <v>0</v>
      </c>
      <c r="E80" s="148">
        <f t="shared" si="6"/>
        <v>0</v>
      </c>
      <c r="F80" s="148">
        <f t="shared" si="0"/>
        <v>0</v>
      </c>
      <c r="G80" s="132">
        <f t="shared" si="1"/>
        <v>0</v>
      </c>
    </row>
    <row r="81" spans="1:7" ht="12.75" hidden="1">
      <c r="A81" s="22">
        <f t="shared" si="2"/>
        <v>62</v>
      </c>
      <c r="B81" s="148">
        <f t="shared" si="3"/>
        <v>0</v>
      </c>
      <c r="C81" s="131">
        <f t="shared" si="4"/>
        <v>0</v>
      </c>
      <c r="D81" s="131">
        <f t="shared" si="5"/>
        <v>0</v>
      </c>
      <c r="E81" s="148">
        <f t="shared" si="6"/>
        <v>0</v>
      </c>
      <c r="F81" s="148">
        <f t="shared" si="0"/>
        <v>0</v>
      </c>
      <c r="G81" s="132">
        <f t="shared" si="1"/>
        <v>0</v>
      </c>
    </row>
    <row r="82" spans="1:7" ht="12.75" hidden="1">
      <c r="A82" s="22">
        <f t="shared" si="2"/>
        <v>63</v>
      </c>
      <c r="B82" s="148">
        <f t="shared" si="3"/>
        <v>0</v>
      </c>
      <c r="C82" s="131">
        <f t="shared" si="4"/>
        <v>0</v>
      </c>
      <c r="D82" s="131">
        <f t="shared" si="5"/>
        <v>0</v>
      </c>
      <c r="E82" s="148">
        <f t="shared" si="6"/>
        <v>0</v>
      </c>
      <c r="F82" s="148">
        <f t="shared" si="0"/>
        <v>0</v>
      </c>
      <c r="G82" s="132">
        <f t="shared" si="1"/>
        <v>0</v>
      </c>
    </row>
    <row r="83" spans="1:7" ht="12.75" hidden="1">
      <c r="A83" s="22">
        <f t="shared" si="2"/>
        <v>64</v>
      </c>
      <c r="B83" s="148">
        <f t="shared" si="3"/>
        <v>0</v>
      </c>
      <c r="C83" s="131">
        <f t="shared" si="4"/>
        <v>0</v>
      </c>
      <c r="D83" s="131">
        <f t="shared" si="5"/>
        <v>0</v>
      </c>
      <c r="E83" s="148">
        <f t="shared" si="6"/>
        <v>0</v>
      </c>
      <c r="F83" s="148">
        <f t="shared" si="0"/>
        <v>0</v>
      </c>
      <c r="G83" s="132">
        <f t="shared" si="1"/>
        <v>0</v>
      </c>
    </row>
    <row r="84" spans="1:7" ht="12.75" hidden="1">
      <c r="A84" s="22">
        <f t="shared" si="2"/>
        <v>65</v>
      </c>
      <c r="B84" s="148">
        <f t="shared" si="3"/>
        <v>0</v>
      </c>
      <c r="C84" s="131">
        <f t="shared" si="4"/>
        <v>0</v>
      </c>
      <c r="D84" s="131">
        <f t="shared" si="5"/>
        <v>0</v>
      </c>
      <c r="E84" s="148">
        <f t="shared" si="6"/>
        <v>0</v>
      </c>
      <c r="F84" s="148">
        <f aca="true" t="shared" si="7" ref="F84:F147">IF(A84=$D$10,$D$2,0)</f>
        <v>0</v>
      </c>
      <c r="G84" s="132">
        <f aca="true" t="shared" si="8" ref="G84:G147">B84-F84</f>
        <v>0</v>
      </c>
    </row>
    <row r="85" spans="1:7" ht="12.75" hidden="1">
      <c r="A85" s="22">
        <f aca="true" t="shared" si="9" ref="A85:A148">A84+1</f>
        <v>66</v>
      </c>
      <c r="B85" s="148">
        <f aca="true" t="shared" si="10" ref="B85:B148">B84-F84</f>
        <v>0</v>
      </c>
      <c r="C85" s="131">
        <f aca="true" t="shared" si="11" ref="C85:C148">IF(D85=0,0,D85+$D$13)</f>
        <v>0</v>
      </c>
      <c r="D85" s="131">
        <f aca="true" t="shared" si="12" ref="D85:D148">E85+F85</f>
        <v>0</v>
      </c>
      <c r="E85" s="148">
        <f aca="true" t="shared" si="13" ref="E85:E148">IF(B85&gt;0,E84,0)</f>
        <v>0</v>
      </c>
      <c r="F85" s="148">
        <f t="shared" si="7"/>
        <v>0</v>
      </c>
      <c r="G85" s="132">
        <f t="shared" si="8"/>
        <v>0</v>
      </c>
    </row>
    <row r="86" spans="1:7" ht="12.75" hidden="1">
      <c r="A86" s="22">
        <f t="shared" si="9"/>
        <v>67</v>
      </c>
      <c r="B86" s="148">
        <f t="shared" si="10"/>
        <v>0</v>
      </c>
      <c r="C86" s="131">
        <f t="shared" si="11"/>
        <v>0</v>
      </c>
      <c r="D86" s="131">
        <f t="shared" si="12"/>
        <v>0</v>
      </c>
      <c r="E86" s="148">
        <f t="shared" si="13"/>
        <v>0</v>
      </c>
      <c r="F86" s="148">
        <f t="shared" si="7"/>
        <v>0</v>
      </c>
      <c r="G86" s="132">
        <f t="shared" si="8"/>
        <v>0</v>
      </c>
    </row>
    <row r="87" spans="1:7" ht="12.75" hidden="1">
      <c r="A87" s="22">
        <f t="shared" si="9"/>
        <v>68</v>
      </c>
      <c r="B87" s="148">
        <f t="shared" si="10"/>
        <v>0</v>
      </c>
      <c r="C87" s="131">
        <f t="shared" si="11"/>
        <v>0</v>
      </c>
      <c r="D87" s="131">
        <f t="shared" si="12"/>
        <v>0</v>
      </c>
      <c r="E87" s="148">
        <f t="shared" si="13"/>
        <v>0</v>
      </c>
      <c r="F87" s="148">
        <f t="shared" si="7"/>
        <v>0</v>
      </c>
      <c r="G87" s="132">
        <f t="shared" si="8"/>
        <v>0</v>
      </c>
    </row>
    <row r="88" spans="1:7" ht="12.75" hidden="1">
      <c r="A88" s="22">
        <f t="shared" si="9"/>
        <v>69</v>
      </c>
      <c r="B88" s="148">
        <f t="shared" si="10"/>
        <v>0</v>
      </c>
      <c r="C88" s="131">
        <f t="shared" si="11"/>
        <v>0</v>
      </c>
      <c r="D88" s="131">
        <f t="shared" si="12"/>
        <v>0</v>
      </c>
      <c r="E88" s="148">
        <f t="shared" si="13"/>
        <v>0</v>
      </c>
      <c r="F88" s="148">
        <f t="shared" si="7"/>
        <v>0</v>
      </c>
      <c r="G88" s="132">
        <f t="shared" si="8"/>
        <v>0</v>
      </c>
    </row>
    <row r="89" spans="1:7" ht="12.75" hidden="1">
      <c r="A89" s="22">
        <f t="shared" si="9"/>
        <v>70</v>
      </c>
      <c r="B89" s="148">
        <f t="shared" si="10"/>
        <v>0</v>
      </c>
      <c r="C89" s="131">
        <f t="shared" si="11"/>
        <v>0</v>
      </c>
      <c r="D89" s="131">
        <f t="shared" si="12"/>
        <v>0</v>
      </c>
      <c r="E89" s="148">
        <f t="shared" si="13"/>
        <v>0</v>
      </c>
      <c r="F89" s="148">
        <f t="shared" si="7"/>
        <v>0</v>
      </c>
      <c r="G89" s="132">
        <f t="shared" si="8"/>
        <v>0</v>
      </c>
    </row>
    <row r="90" spans="1:7" ht="12.75" hidden="1">
      <c r="A90" s="22">
        <f t="shared" si="9"/>
        <v>71</v>
      </c>
      <c r="B90" s="148">
        <f t="shared" si="10"/>
        <v>0</v>
      </c>
      <c r="C90" s="131">
        <f t="shared" si="11"/>
        <v>0</v>
      </c>
      <c r="D90" s="131">
        <f t="shared" si="12"/>
        <v>0</v>
      </c>
      <c r="E90" s="148">
        <f t="shared" si="13"/>
        <v>0</v>
      </c>
      <c r="F90" s="148">
        <f t="shared" si="7"/>
        <v>0</v>
      </c>
      <c r="G90" s="132">
        <f t="shared" si="8"/>
        <v>0</v>
      </c>
    </row>
    <row r="91" spans="1:7" ht="12.75" hidden="1">
      <c r="A91" s="22">
        <f t="shared" si="9"/>
        <v>72</v>
      </c>
      <c r="B91" s="148">
        <f t="shared" si="10"/>
        <v>0</v>
      </c>
      <c r="C91" s="131">
        <f t="shared" si="11"/>
        <v>0</v>
      </c>
      <c r="D91" s="131">
        <f t="shared" si="12"/>
        <v>0</v>
      </c>
      <c r="E91" s="148">
        <f t="shared" si="13"/>
        <v>0</v>
      </c>
      <c r="F91" s="148">
        <f t="shared" si="7"/>
        <v>0</v>
      </c>
      <c r="G91" s="132">
        <f t="shared" si="8"/>
        <v>0</v>
      </c>
    </row>
    <row r="92" spans="1:7" ht="12.75" hidden="1">
      <c r="A92" s="22">
        <f t="shared" si="9"/>
        <v>73</v>
      </c>
      <c r="B92" s="148">
        <f t="shared" si="10"/>
        <v>0</v>
      </c>
      <c r="C92" s="131">
        <f t="shared" si="11"/>
        <v>0</v>
      </c>
      <c r="D92" s="131">
        <f t="shared" si="12"/>
        <v>0</v>
      </c>
      <c r="E92" s="148">
        <f t="shared" si="13"/>
        <v>0</v>
      </c>
      <c r="F92" s="148">
        <f t="shared" si="7"/>
        <v>0</v>
      </c>
      <c r="G92" s="132">
        <f t="shared" si="8"/>
        <v>0</v>
      </c>
    </row>
    <row r="93" spans="1:7" ht="12.75" hidden="1">
      <c r="A93" s="22">
        <f t="shared" si="9"/>
        <v>74</v>
      </c>
      <c r="B93" s="148">
        <f t="shared" si="10"/>
        <v>0</v>
      </c>
      <c r="C93" s="131">
        <f t="shared" si="11"/>
        <v>0</v>
      </c>
      <c r="D93" s="131">
        <f t="shared" si="12"/>
        <v>0</v>
      </c>
      <c r="E93" s="148">
        <f t="shared" si="13"/>
        <v>0</v>
      </c>
      <c r="F93" s="148">
        <f t="shared" si="7"/>
        <v>0</v>
      </c>
      <c r="G93" s="132">
        <f t="shared" si="8"/>
        <v>0</v>
      </c>
    </row>
    <row r="94" spans="1:7" ht="12.75" hidden="1">
      <c r="A94" s="22">
        <f t="shared" si="9"/>
        <v>75</v>
      </c>
      <c r="B94" s="148">
        <f t="shared" si="10"/>
        <v>0</v>
      </c>
      <c r="C94" s="131">
        <f t="shared" si="11"/>
        <v>0</v>
      </c>
      <c r="D94" s="131">
        <f t="shared" si="12"/>
        <v>0</v>
      </c>
      <c r="E94" s="148">
        <f t="shared" si="13"/>
        <v>0</v>
      </c>
      <c r="F94" s="148">
        <f t="shared" si="7"/>
        <v>0</v>
      </c>
      <c r="G94" s="132">
        <f t="shared" si="8"/>
        <v>0</v>
      </c>
    </row>
    <row r="95" spans="1:7" ht="12.75" hidden="1">
      <c r="A95" s="22">
        <f t="shared" si="9"/>
        <v>76</v>
      </c>
      <c r="B95" s="148">
        <f t="shared" si="10"/>
        <v>0</v>
      </c>
      <c r="C95" s="131">
        <f t="shared" si="11"/>
        <v>0</v>
      </c>
      <c r="D95" s="131">
        <f t="shared" si="12"/>
        <v>0</v>
      </c>
      <c r="E95" s="148">
        <f t="shared" si="13"/>
        <v>0</v>
      </c>
      <c r="F95" s="148">
        <f t="shared" si="7"/>
        <v>0</v>
      </c>
      <c r="G95" s="132">
        <f t="shared" si="8"/>
        <v>0</v>
      </c>
    </row>
    <row r="96" spans="1:7" ht="12.75" hidden="1">
      <c r="A96" s="22">
        <f t="shared" si="9"/>
        <v>77</v>
      </c>
      <c r="B96" s="148">
        <f t="shared" si="10"/>
        <v>0</v>
      </c>
      <c r="C96" s="131">
        <f t="shared" si="11"/>
        <v>0</v>
      </c>
      <c r="D96" s="131">
        <f t="shared" si="12"/>
        <v>0</v>
      </c>
      <c r="E96" s="148">
        <f t="shared" si="13"/>
        <v>0</v>
      </c>
      <c r="F96" s="148">
        <f t="shared" si="7"/>
        <v>0</v>
      </c>
      <c r="G96" s="132">
        <f t="shared" si="8"/>
        <v>0</v>
      </c>
    </row>
    <row r="97" spans="1:7" ht="12.75" hidden="1">
      <c r="A97" s="22">
        <f t="shared" si="9"/>
        <v>78</v>
      </c>
      <c r="B97" s="148">
        <f t="shared" si="10"/>
        <v>0</v>
      </c>
      <c r="C97" s="131">
        <f t="shared" si="11"/>
        <v>0</v>
      </c>
      <c r="D97" s="131">
        <f t="shared" si="12"/>
        <v>0</v>
      </c>
      <c r="E97" s="148">
        <f t="shared" si="13"/>
        <v>0</v>
      </c>
      <c r="F97" s="148">
        <f t="shared" si="7"/>
        <v>0</v>
      </c>
      <c r="G97" s="132">
        <f t="shared" si="8"/>
        <v>0</v>
      </c>
    </row>
    <row r="98" spans="1:7" ht="12.75" hidden="1">
      <c r="A98" s="22">
        <f t="shared" si="9"/>
        <v>79</v>
      </c>
      <c r="B98" s="148">
        <f t="shared" si="10"/>
        <v>0</v>
      </c>
      <c r="C98" s="131">
        <f t="shared" si="11"/>
        <v>0</v>
      </c>
      <c r="D98" s="131">
        <f t="shared" si="12"/>
        <v>0</v>
      </c>
      <c r="E98" s="148">
        <f t="shared" si="13"/>
        <v>0</v>
      </c>
      <c r="F98" s="148">
        <f t="shared" si="7"/>
        <v>0</v>
      </c>
      <c r="G98" s="132">
        <f t="shared" si="8"/>
        <v>0</v>
      </c>
    </row>
    <row r="99" spans="1:7" ht="12.75" hidden="1">
      <c r="A99" s="22">
        <f t="shared" si="9"/>
        <v>80</v>
      </c>
      <c r="B99" s="148">
        <f t="shared" si="10"/>
        <v>0</v>
      </c>
      <c r="C99" s="131">
        <f t="shared" si="11"/>
        <v>0</v>
      </c>
      <c r="D99" s="131">
        <f t="shared" si="12"/>
        <v>0</v>
      </c>
      <c r="E99" s="148">
        <f t="shared" si="13"/>
        <v>0</v>
      </c>
      <c r="F99" s="148">
        <f t="shared" si="7"/>
        <v>0</v>
      </c>
      <c r="G99" s="132">
        <f t="shared" si="8"/>
        <v>0</v>
      </c>
    </row>
    <row r="100" spans="1:7" ht="12.75" hidden="1">
      <c r="A100" s="22">
        <f t="shared" si="9"/>
        <v>81</v>
      </c>
      <c r="B100" s="148">
        <f t="shared" si="10"/>
        <v>0</v>
      </c>
      <c r="C100" s="131">
        <f t="shared" si="11"/>
        <v>0</v>
      </c>
      <c r="D100" s="131">
        <f t="shared" si="12"/>
        <v>0</v>
      </c>
      <c r="E100" s="148">
        <f t="shared" si="13"/>
        <v>0</v>
      </c>
      <c r="F100" s="148">
        <f t="shared" si="7"/>
        <v>0</v>
      </c>
      <c r="G100" s="132">
        <f t="shared" si="8"/>
        <v>0</v>
      </c>
    </row>
    <row r="101" spans="1:7" ht="12.75" hidden="1">
      <c r="A101" s="22">
        <f t="shared" si="9"/>
        <v>82</v>
      </c>
      <c r="B101" s="148">
        <f t="shared" si="10"/>
        <v>0</v>
      </c>
      <c r="C101" s="131">
        <f t="shared" si="11"/>
        <v>0</v>
      </c>
      <c r="D101" s="131">
        <f t="shared" si="12"/>
        <v>0</v>
      </c>
      <c r="E101" s="148">
        <f t="shared" si="13"/>
        <v>0</v>
      </c>
      <c r="F101" s="148">
        <f t="shared" si="7"/>
        <v>0</v>
      </c>
      <c r="G101" s="132">
        <f t="shared" si="8"/>
        <v>0</v>
      </c>
    </row>
    <row r="102" spans="1:7" ht="12.75" hidden="1">
      <c r="A102" s="22">
        <f t="shared" si="9"/>
        <v>83</v>
      </c>
      <c r="B102" s="148">
        <f t="shared" si="10"/>
        <v>0</v>
      </c>
      <c r="C102" s="131">
        <f t="shared" si="11"/>
        <v>0</v>
      </c>
      <c r="D102" s="131">
        <f t="shared" si="12"/>
        <v>0</v>
      </c>
      <c r="E102" s="148">
        <f t="shared" si="13"/>
        <v>0</v>
      </c>
      <c r="F102" s="148">
        <f t="shared" si="7"/>
        <v>0</v>
      </c>
      <c r="G102" s="132">
        <f t="shared" si="8"/>
        <v>0</v>
      </c>
    </row>
    <row r="103" spans="1:7" ht="12.75" hidden="1">
      <c r="A103" s="22">
        <f t="shared" si="9"/>
        <v>84</v>
      </c>
      <c r="B103" s="148">
        <f t="shared" si="10"/>
        <v>0</v>
      </c>
      <c r="C103" s="131">
        <f t="shared" si="11"/>
        <v>0</v>
      </c>
      <c r="D103" s="131">
        <f t="shared" si="12"/>
        <v>0</v>
      </c>
      <c r="E103" s="148">
        <f t="shared" si="13"/>
        <v>0</v>
      </c>
      <c r="F103" s="148">
        <f t="shared" si="7"/>
        <v>0</v>
      </c>
      <c r="G103" s="132">
        <f t="shared" si="8"/>
        <v>0</v>
      </c>
    </row>
    <row r="104" spans="1:7" ht="12.75" hidden="1">
      <c r="A104" s="22">
        <f t="shared" si="9"/>
        <v>85</v>
      </c>
      <c r="B104" s="148">
        <f t="shared" si="10"/>
        <v>0</v>
      </c>
      <c r="C104" s="131">
        <f t="shared" si="11"/>
        <v>0</v>
      </c>
      <c r="D104" s="131">
        <f t="shared" si="12"/>
        <v>0</v>
      </c>
      <c r="E104" s="148">
        <f t="shared" si="13"/>
        <v>0</v>
      </c>
      <c r="F104" s="148">
        <f t="shared" si="7"/>
        <v>0</v>
      </c>
      <c r="G104" s="132">
        <f t="shared" si="8"/>
        <v>0</v>
      </c>
    </row>
    <row r="105" spans="1:7" ht="12.75" hidden="1">
      <c r="A105" s="22">
        <f t="shared" si="9"/>
        <v>86</v>
      </c>
      <c r="B105" s="148">
        <f t="shared" si="10"/>
        <v>0</v>
      </c>
      <c r="C105" s="131">
        <f t="shared" si="11"/>
        <v>0</v>
      </c>
      <c r="D105" s="131">
        <f t="shared" si="12"/>
        <v>0</v>
      </c>
      <c r="E105" s="148">
        <f t="shared" si="13"/>
        <v>0</v>
      </c>
      <c r="F105" s="148">
        <f t="shared" si="7"/>
        <v>0</v>
      </c>
      <c r="G105" s="132">
        <f t="shared" si="8"/>
        <v>0</v>
      </c>
    </row>
    <row r="106" spans="1:7" ht="12.75" hidden="1">
      <c r="A106" s="22">
        <f t="shared" si="9"/>
        <v>87</v>
      </c>
      <c r="B106" s="148">
        <f t="shared" si="10"/>
        <v>0</v>
      </c>
      <c r="C106" s="131">
        <f t="shared" si="11"/>
        <v>0</v>
      </c>
      <c r="D106" s="131">
        <f t="shared" si="12"/>
        <v>0</v>
      </c>
      <c r="E106" s="148">
        <f t="shared" si="13"/>
        <v>0</v>
      </c>
      <c r="F106" s="148">
        <f t="shared" si="7"/>
        <v>0</v>
      </c>
      <c r="G106" s="132">
        <f t="shared" si="8"/>
        <v>0</v>
      </c>
    </row>
    <row r="107" spans="1:7" ht="12.75" hidden="1">
      <c r="A107" s="22">
        <f t="shared" si="9"/>
        <v>88</v>
      </c>
      <c r="B107" s="148">
        <f t="shared" si="10"/>
        <v>0</v>
      </c>
      <c r="C107" s="131">
        <f t="shared" si="11"/>
        <v>0</v>
      </c>
      <c r="D107" s="131">
        <f t="shared" si="12"/>
        <v>0</v>
      </c>
      <c r="E107" s="148">
        <f t="shared" si="13"/>
        <v>0</v>
      </c>
      <c r="F107" s="148">
        <f t="shared" si="7"/>
        <v>0</v>
      </c>
      <c r="G107" s="132">
        <f t="shared" si="8"/>
        <v>0</v>
      </c>
    </row>
    <row r="108" spans="1:7" ht="12.75" hidden="1">
      <c r="A108" s="22">
        <f t="shared" si="9"/>
        <v>89</v>
      </c>
      <c r="B108" s="148">
        <f t="shared" si="10"/>
        <v>0</v>
      </c>
      <c r="C108" s="131">
        <f t="shared" si="11"/>
        <v>0</v>
      </c>
      <c r="D108" s="131">
        <f t="shared" si="12"/>
        <v>0</v>
      </c>
      <c r="E108" s="148">
        <f t="shared" si="13"/>
        <v>0</v>
      </c>
      <c r="F108" s="148">
        <f t="shared" si="7"/>
        <v>0</v>
      </c>
      <c r="G108" s="132">
        <f t="shared" si="8"/>
        <v>0</v>
      </c>
    </row>
    <row r="109" spans="1:7" ht="12.75" hidden="1">
      <c r="A109" s="22">
        <f t="shared" si="9"/>
        <v>90</v>
      </c>
      <c r="B109" s="148">
        <f t="shared" si="10"/>
        <v>0</v>
      </c>
      <c r="C109" s="131">
        <f t="shared" si="11"/>
        <v>0</v>
      </c>
      <c r="D109" s="131">
        <f t="shared" si="12"/>
        <v>0</v>
      </c>
      <c r="E109" s="148">
        <f t="shared" si="13"/>
        <v>0</v>
      </c>
      <c r="F109" s="148">
        <f t="shared" si="7"/>
        <v>0</v>
      </c>
      <c r="G109" s="132">
        <f t="shared" si="8"/>
        <v>0</v>
      </c>
    </row>
    <row r="110" spans="1:7" ht="12.75" hidden="1">
      <c r="A110" s="22">
        <f t="shared" si="9"/>
        <v>91</v>
      </c>
      <c r="B110" s="148">
        <f t="shared" si="10"/>
        <v>0</v>
      </c>
      <c r="C110" s="131">
        <f t="shared" si="11"/>
        <v>0</v>
      </c>
      <c r="D110" s="131">
        <f t="shared" si="12"/>
        <v>0</v>
      </c>
      <c r="E110" s="148">
        <f t="shared" si="13"/>
        <v>0</v>
      </c>
      <c r="F110" s="148">
        <f t="shared" si="7"/>
        <v>0</v>
      </c>
      <c r="G110" s="132">
        <f t="shared" si="8"/>
        <v>0</v>
      </c>
    </row>
    <row r="111" spans="1:7" ht="12.75" hidden="1">
      <c r="A111" s="22">
        <f t="shared" si="9"/>
        <v>92</v>
      </c>
      <c r="B111" s="148">
        <f t="shared" si="10"/>
        <v>0</v>
      </c>
      <c r="C111" s="131">
        <f t="shared" si="11"/>
        <v>0</v>
      </c>
      <c r="D111" s="131">
        <f t="shared" si="12"/>
        <v>0</v>
      </c>
      <c r="E111" s="148">
        <f t="shared" si="13"/>
        <v>0</v>
      </c>
      <c r="F111" s="148">
        <f t="shared" si="7"/>
        <v>0</v>
      </c>
      <c r="G111" s="132">
        <f t="shared" si="8"/>
        <v>0</v>
      </c>
    </row>
    <row r="112" spans="1:7" ht="12.75" hidden="1">
      <c r="A112" s="22">
        <f t="shared" si="9"/>
        <v>93</v>
      </c>
      <c r="B112" s="148">
        <f t="shared" si="10"/>
        <v>0</v>
      </c>
      <c r="C112" s="131">
        <f t="shared" si="11"/>
        <v>0</v>
      </c>
      <c r="D112" s="131">
        <f t="shared" si="12"/>
        <v>0</v>
      </c>
      <c r="E112" s="148">
        <f t="shared" si="13"/>
        <v>0</v>
      </c>
      <c r="F112" s="148">
        <f t="shared" si="7"/>
        <v>0</v>
      </c>
      <c r="G112" s="132">
        <f t="shared" si="8"/>
        <v>0</v>
      </c>
    </row>
    <row r="113" spans="1:7" ht="12.75" hidden="1">
      <c r="A113" s="22">
        <f t="shared" si="9"/>
        <v>94</v>
      </c>
      <c r="B113" s="148">
        <f t="shared" si="10"/>
        <v>0</v>
      </c>
      <c r="C113" s="131">
        <f t="shared" si="11"/>
        <v>0</v>
      </c>
      <c r="D113" s="131">
        <f t="shared" si="12"/>
        <v>0</v>
      </c>
      <c r="E113" s="148">
        <f t="shared" si="13"/>
        <v>0</v>
      </c>
      <c r="F113" s="148">
        <f t="shared" si="7"/>
        <v>0</v>
      </c>
      <c r="G113" s="132">
        <f t="shared" si="8"/>
        <v>0</v>
      </c>
    </row>
    <row r="114" spans="1:7" ht="12.75" hidden="1">
      <c r="A114" s="22">
        <f t="shared" si="9"/>
        <v>95</v>
      </c>
      <c r="B114" s="148">
        <f t="shared" si="10"/>
        <v>0</v>
      </c>
      <c r="C114" s="131">
        <f t="shared" si="11"/>
        <v>0</v>
      </c>
      <c r="D114" s="131">
        <f t="shared" si="12"/>
        <v>0</v>
      </c>
      <c r="E114" s="148">
        <f t="shared" si="13"/>
        <v>0</v>
      </c>
      <c r="F114" s="148">
        <f t="shared" si="7"/>
        <v>0</v>
      </c>
      <c r="G114" s="132">
        <f t="shared" si="8"/>
        <v>0</v>
      </c>
    </row>
    <row r="115" spans="1:7" ht="12.75" hidden="1">
      <c r="A115" s="22">
        <f t="shared" si="9"/>
        <v>96</v>
      </c>
      <c r="B115" s="148">
        <f t="shared" si="10"/>
        <v>0</v>
      </c>
      <c r="C115" s="131">
        <f t="shared" si="11"/>
        <v>0</v>
      </c>
      <c r="D115" s="131">
        <f t="shared" si="12"/>
        <v>0</v>
      </c>
      <c r="E115" s="148">
        <f t="shared" si="13"/>
        <v>0</v>
      </c>
      <c r="F115" s="148">
        <f t="shared" si="7"/>
        <v>0</v>
      </c>
      <c r="G115" s="132">
        <f t="shared" si="8"/>
        <v>0</v>
      </c>
    </row>
    <row r="116" spans="1:7" ht="12.75" hidden="1">
      <c r="A116" s="22">
        <f t="shared" si="9"/>
        <v>97</v>
      </c>
      <c r="B116" s="148">
        <f t="shared" si="10"/>
        <v>0</v>
      </c>
      <c r="C116" s="131">
        <f t="shared" si="11"/>
        <v>0</v>
      </c>
      <c r="D116" s="131">
        <f t="shared" si="12"/>
        <v>0</v>
      </c>
      <c r="E116" s="148">
        <f t="shared" si="13"/>
        <v>0</v>
      </c>
      <c r="F116" s="148">
        <f t="shared" si="7"/>
        <v>0</v>
      </c>
      <c r="G116" s="132">
        <f t="shared" si="8"/>
        <v>0</v>
      </c>
    </row>
    <row r="117" spans="1:7" ht="12.75" hidden="1">
      <c r="A117" s="22">
        <f t="shared" si="9"/>
        <v>98</v>
      </c>
      <c r="B117" s="148">
        <f t="shared" si="10"/>
        <v>0</v>
      </c>
      <c r="C117" s="131">
        <f t="shared" si="11"/>
        <v>0</v>
      </c>
      <c r="D117" s="131">
        <f t="shared" si="12"/>
        <v>0</v>
      </c>
      <c r="E117" s="148">
        <f t="shared" si="13"/>
        <v>0</v>
      </c>
      <c r="F117" s="148">
        <f t="shared" si="7"/>
        <v>0</v>
      </c>
      <c r="G117" s="132">
        <f t="shared" si="8"/>
        <v>0</v>
      </c>
    </row>
    <row r="118" spans="1:7" ht="12.75" hidden="1">
      <c r="A118" s="22">
        <f t="shared" si="9"/>
        <v>99</v>
      </c>
      <c r="B118" s="148">
        <f t="shared" si="10"/>
        <v>0</v>
      </c>
      <c r="C118" s="131">
        <f t="shared" si="11"/>
        <v>0</v>
      </c>
      <c r="D118" s="131">
        <f t="shared" si="12"/>
        <v>0</v>
      </c>
      <c r="E118" s="148">
        <f t="shared" si="13"/>
        <v>0</v>
      </c>
      <c r="F118" s="148">
        <f t="shared" si="7"/>
        <v>0</v>
      </c>
      <c r="G118" s="132">
        <f t="shared" si="8"/>
        <v>0</v>
      </c>
    </row>
    <row r="119" spans="1:7" ht="12.75" hidden="1">
      <c r="A119" s="22">
        <f t="shared" si="9"/>
        <v>100</v>
      </c>
      <c r="B119" s="148">
        <f t="shared" si="10"/>
        <v>0</v>
      </c>
      <c r="C119" s="131">
        <f t="shared" si="11"/>
        <v>0</v>
      </c>
      <c r="D119" s="131">
        <f t="shared" si="12"/>
        <v>0</v>
      </c>
      <c r="E119" s="148">
        <f t="shared" si="13"/>
        <v>0</v>
      </c>
      <c r="F119" s="148">
        <f t="shared" si="7"/>
        <v>0</v>
      </c>
      <c r="G119" s="132">
        <f t="shared" si="8"/>
        <v>0</v>
      </c>
    </row>
    <row r="120" spans="1:7" ht="12.75" hidden="1">
      <c r="A120" s="22">
        <f t="shared" si="9"/>
        <v>101</v>
      </c>
      <c r="B120" s="148">
        <f t="shared" si="10"/>
        <v>0</v>
      </c>
      <c r="C120" s="131">
        <f t="shared" si="11"/>
        <v>0</v>
      </c>
      <c r="D120" s="131">
        <f t="shared" si="12"/>
        <v>0</v>
      </c>
      <c r="E120" s="148">
        <f t="shared" si="13"/>
        <v>0</v>
      </c>
      <c r="F120" s="148">
        <f t="shared" si="7"/>
        <v>0</v>
      </c>
      <c r="G120" s="132">
        <f t="shared" si="8"/>
        <v>0</v>
      </c>
    </row>
    <row r="121" spans="1:7" ht="12.75" hidden="1">
      <c r="A121" s="22">
        <f t="shared" si="9"/>
        <v>102</v>
      </c>
      <c r="B121" s="148">
        <f t="shared" si="10"/>
        <v>0</v>
      </c>
      <c r="C121" s="131">
        <f t="shared" si="11"/>
        <v>0</v>
      </c>
      <c r="D121" s="131">
        <f t="shared" si="12"/>
        <v>0</v>
      </c>
      <c r="E121" s="148">
        <f t="shared" si="13"/>
        <v>0</v>
      </c>
      <c r="F121" s="148">
        <f t="shared" si="7"/>
        <v>0</v>
      </c>
      <c r="G121" s="132">
        <f t="shared" si="8"/>
        <v>0</v>
      </c>
    </row>
    <row r="122" spans="1:7" ht="12.75" hidden="1">
      <c r="A122" s="22">
        <f t="shared" si="9"/>
        <v>103</v>
      </c>
      <c r="B122" s="148">
        <f t="shared" si="10"/>
        <v>0</v>
      </c>
      <c r="C122" s="131">
        <f t="shared" si="11"/>
        <v>0</v>
      </c>
      <c r="D122" s="131">
        <f t="shared" si="12"/>
        <v>0</v>
      </c>
      <c r="E122" s="148">
        <f t="shared" si="13"/>
        <v>0</v>
      </c>
      <c r="F122" s="148">
        <f t="shared" si="7"/>
        <v>0</v>
      </c>
      <c r="G122" s="132">
        <f t="shared" si="8"/>
        <v>0</v>
      </c>
    </row>
    <row r="123" spans="1:7" ht="12.75" hidden="1">
      <c r="A123" s="22">
        <f t="shared" si="9"/>
        <v>104</v>
      </c>
      <c r="B123" s="148">
        <f t="shared" si="10"/>
        <v>0</v>
      </c>
      <c r="C123" s="131">
        <f t="shared" si="11"/>
        <v>0</v>
      </c>
      <c r="D123" s="131">
        <f t="shared" si="12"/>
        <v>0</v>
      </c>
      <c r="E123" s="148">
        <f t="shared" si="13"/>
        <v>0</v>
      </c>
      <c r="F123" s="148">
        <f t="shared" si="7"/>
        <v>0</v>
      </c>
      <c r="G123" s="132">
        <f t="shared" si="8"/>
        <v>0</v>
      </c>
    </row>
    <row r="124" spans="1:7" ht="12.75" hidden="1">
      <c r="A124" s="22">
        <f t="shared" si="9"/>
        <v>105</v>
      </c>
      <c r="B124" s="148">
        <f t="shared" si="10"/>
        <v>0</v>
      </c>
      <c r="C124" s="131">
        <f t="shared" si="11"/>
        <v>0</v>
      </c>
      <c r="D124" s="131">
        <f t="shared" si="12"/>
        <v>0</v>
      </c>
      <c r="E124" s="148">
        <f t="shared" si="13"/>
        <v>0</v>
      </c>
      <c r="F124" s="148">
        <f t="shared" si="7"/>
        <v>0</v>
      </c>
      <c r="G124" s="132">
        <f t="shared" si="8"/>
        <v>0</v>
      </c>
    </row>
    <row r="125" spans="1:7" ht="12.75" hidden="1">
      <c r="A125" s="22">
        <f t="shared" si="9"/>
        <v>106</v>
      </c>
      <c r="B125" s="148">
        <f t="shared" si="10"/>
        <v>0</v>
      </c>
      <c r="C125" s="131">
        <f t="shared" si="11"/>
        <v>0</v>
      </c>
      <c r="D125" s="131">
        <f t="shared" si="12"/>
        <v>0</v>
      </c>
      <c r="E125" s="148">
        <f t="shared" si="13"/>
        <v>0</v>
      </c>
      <c r="F125" s="148">
        <f t="shared" si="7"/>
        <v>0</v>
      </c>
      <c r="G125" s="132">
        <f t="shared" si="8"/>
        <v>0</v>
      </c>
    </row>
    <row r="126" spans="1:7" ht="12.75" hidden="1">
      <c r="A126" s="22">
        <f t="shared" si="9"/>
        <v>107</v>
      </c>
      <c r="B126" s="148">
        <f t="shared" si="10"/>
        <v>0</v>
      </c>
      <c r="C126" s="131">
        <f t="shared" si="11"/>
        <v>0</v>
      </c>
      <c r="D126" s="131">
        <f t="shared" si="12"/>
        <v>0</v>
      </c>
      <c r="E126" s="148">
        <f t="shared" si="13"/>
        <v>0</v>
      </c>
      <c r="F126" s="148">
        <f t="shared" si="7"/>
        <v>0</v>
      </c>
      <c r="G126" s="132">
        <f t="shared" si="8"/>
        <v>0</v>
      </c>
    </row>
    <row r="127" spans="1:7" ht="12.75" hidden="1">
      <c r="A127" s="22">
        <f t="shared" si="9"/>
        <v>108</v>
      </c>
      <c r="B127" s="148">
        <f t="shared" si="10"/>
        <v>0</v>
      </c>
      <c r="C127" s="131">
        <f t="shared" si="11"/>
        <v>0</v>
      </c>
      <c r="D127" s="131">
        <f t="shared" si="12"/>
        <v>0</v>
      </c>
      <c r="E127" s="148">
        <f t="shared" si="13"/>
        <v>0</v>
      </c>
      <c r="F127" s="148">
        <f t="shared" si="7"/>
        <v>0</v>
      </c>
      <c r="G127" s="132">
        <f t="shared" si="8"/>
        <v>0</v>
      </c>
    </row>
    <row r="128" spans="1:7" ht="12.75" hidden="1">
      <c r="A128" s="22">
        <f t="shared" si="9"/>
        <v>109</v>
      </c>
      <c r="B128" s="148">
        <f t="shared" si="10"/>
        <v>0</v>
      </c>
      <c r="C128" s="131">
        <f t="shared" si="11"/>
        <v>0</v>
      </c>
      <c r="D128" s="131">
        <f t="shared" si="12"/>
        <v>0</v>
      </c>
      <c r="E128" s="148">
        <f t="shared" si="13"/>
        <v>0</v>
      </c>
      <c r="F128" s="148">
        <f t="shared" si="7"/>
        <v>0</v>
      </c>
      <c r="G128" s="132">
        <f t="shared" si="8"/>
        <v>0</v>
      </c>
    </row>
    <row r="129" spans="1:7" ht="12.75" hidden="1">
      <c r="A129" s="22">
        <f t="shared" si="9"/>
        <v>110</v>
      </c>
      <c r="B129" s="148">
        <f t="shared" si="10"/>
        <v>0</v>
      </c>
      <c r="C129" s="131">
        <f t="shared" si="11"/>
        <v>0</v>
      </c>
      <c r="D129" s="131">
        <f t="shared" si="12"/>
        <v>0</v>
      </c>
      <c r="E129" s="148">
        <f t="shared" si="13"/>
        <v>0</v>
      </c>
      <c r="F129" s="148">
        <f t="shared" si="7"/>
        <v>0</v>
      </c>
      <c r="G129" s="132">
        <f t="shared" si="8"/>
        <v>0</v>
      </c>
    </row>
    <row r="130" spans="1:7" ht="12.75" hidden="1">
      <c r="A130" s="22">
        <f t="shared" si="9"/>
        <v>111</v>
      </c>
      <c r="B130" s="148">
        <f t="shared" si="10"/>
        <v>0</v>
      </c>
      <c r="C130" s="131">
        <f t="shared" si="11"/>
        <v>0</v>
      </c>
      <c r="D130" s="131">
        <f t="shared" si="12"/>
        <v>0</v>
      </c>
      <c r="E130" s="148">
        <f t="shared" si="13"/>
        <v>0</v>
      </c>
      <c r="F130" s="148">
        <f t="shared" si="7"/>
        <v>0</v>
      </c>
      <c r="G130" s="132">
        <f t="shared" si="8"/>
        <v>0</v>
      </c>
    </row>
    <row r="131" spans="1:7" ht="12.75" hidden="1">
      <c r="A131" s="22">
        <f t="shared" si="9"/>
        <v>112</v>
      </c>
      <c r="B131" s="148">
        <f t="shared" si="10"/>
        <v>0</v>
      </c>
      <c r="C131" s="131">
        <f t="shared" si="11"/>
        <v>0</v>
      </c>
      <c r="D131" s="131">
        <f t="shared" si="12"/>
        <v>0</v>
      </c>
      <c r="E131" s="148">
        <f t="shared" si="13"/>
        <v>0</v>
      </c>
      <c r="F131" s="148">
        <f t="shared" si="7"/>
        <v>0</v>
      </c>
      <c r="G131" s="132">
        <f t="shared" si="8"/>
        <v>0</v>
      </c>
    </row>
    <row r="132" spans="1:7" ht="12.75" hidden="1">
      <c r="A132" s="22">
        <f t="shared" si="9"/>
        <v>113</v>
      </c>
      <c r="B132" s="148">
        <f t="shared" si="10"/>
        <v>0</v>
      </c>
      <c r="C132" s="131">
        <f t="shared" si="11"/>
        <v>0</v>
      </c>
      <c r="D132" s="131">
        <f t="shared" si="12"/>
        <v>0</v>
      </c>
      <c r="E132" s="148">
        <f t="shared" si="13"/>
        <v>0</v>
      </c>
      <c r="F132" s="148">
        <f t="shared" si="7"/>
        <v>0</v>
      </c>
      <c r="G132" s="132">
        <f t="shared" si="8"/>
        <v>0</v>
      </c>
    </row>
    <row r="133" spans="1:7" ht="12.75" hidden="1">
      <c r="A133" s="22">
        <f t="shared" si="9"/>
        <v>114</v>
      </c>
      <c r="B133" s="148">
        <f t="shared" si="10"/>
        <v>0</v>
      </c>
      <c r="C133" s="131">
        <f t="shared" si="11"/>
        <v>0</v>
      </c>
      <c r="D133" s="131">
        <f t="shared" si="12"/>
        <v>0</v>
      </c>
      <c r="E133" s="148">
        <f t="shared" si="13"/>
        <v>0</v>
      </c>
      <c r="F133" s="148">
        <f t="shared" si="7"/>
        <v>0</v>
      </c>
      <c r="G133" s="132">
        <f t="shared" si="8"/>
        <v>0</v>
      </c>
    </row>
    <row r="134" spans="1:7" ht="12.75" hidden="1">
      <c r="A134" s="22">
        <f t="shared" si="9"/>
        <v>115</v>
      </c>
      <c r="B134" s="148">
        <f t="shared" si="10"/>
        <v>0</v>
      </c>
      <c r="C134" s="131">
        <f t="shared" si="11"/>
        <v>0</v>
      </c>
      <c r="D134" s="131">
        <f t="shared" si="12"/>
        <v>0</v>
      </c>
      <c r="E134" s="148">
        <f t="shared" si="13"/>
        <v>0</v>
      </c>
      <c r="F134" s="148">
        <f t="shared" si="7"/>
        <v>0</v>
      </c>
      <c r="G134" s="132">
        <f t="shared" si="8"/>
        <v>0</v>
      </c>
    </row>
    <row r="135" spans="1:7" ht="12.75" hidden="1">
      <c r="A135" s="22">
        <f t="shared" si="9"/>
        <v>116</v>
      </c>
      <c r="B135" s="148">
        <f t="shared" si="10"/>
        <v>0</v>
      </c>
      <c r="C135" s="131">
        <f t="shared" si="11"/>
        <v>0</v>
      </c>
      <c r="D135" s="131">
        <f t="shared" si="12"/>
        <v>0</v>
      </c>
      <c r="E135" s="148">
        <f t="shared" si="13"/>
        <v>0</v>
      </c>
      <c r="F135" s="148">
        <f t="shared" si="7"/>
        <v>0</v>
      </c>
      <c r="G135" s="132">
        <f t="shared" si="8"/>
        <v>0</v>
      </c>
    </row>
    <row r="136" spans="1:7" ht="12.75" hidden="1">
      <c r="A136" s="22">
        <f t="shared" si="9"/>
        <v>117</v>
      </c>
      <c r="B136" s="148">
        <f t="shared" si="10"/>
        <v>0</v>
      </c>
      <c r="C136" s="131">
        <f t="shared" si="11"/>
        <v>0</v>
      </c>
      <c r="D136" s="131">
        <f t="shared" si="12"/>
        <v>0</v>
      </c>
      <c r="E136" s="148">
        <f t="shared" si="13"/>
        <v>0</v>
      </c>
      <c r="F136" s="148">
        <f t="shared" si="7"/>
        <v>0</v>
      </c>
      <c r="G136" s="132">
        <f t="shared" si="8"/>
        <v>0</v>
      </c>
    </row>
    <row r="137" spans="1:7" ht="12.75" hidden="1">
      <c r="A137" s="22">
        <f t="shared" si="9"/>
        <v>118</v>
      </c>
      <c r="B137" s="148">
        <f t="shared" si="10"/>
        <v>0</v>
      </c>
      <c r="C137" s="131">
        <f t="shared" si="11"/>
        <v>0</v>
      </c>
      <c r="D137" s="131">
        <f t="shared" si="12"/>
        <v>0</v>
      </c>
      <c r="E137" s="148">
        <f t="shared" si="13"/>
        <v>0</v>
      </c>
      <c r="F137" s="148">
        <f t="shared" si="7"/>
        <v>0</v>
      </c>
      <c r="G137" s="132">
        <f t="shared" si="8"/>
        <v>0</v>
      </c>
    </row>
    <row r="138" spans="1:7" ht="12.75" hidden="1">
      <c r="A138" s="22">
        <f t="shared" si="9"/>
        <v>119</v>
      </c>
      <c r="B138" s="148">
        <f t="shared" si="10"/>
        <v>0</v>
      </c>
      <c r="C138" s="131">
        <f t="shared" si="11"/>
        <v>0</v>
      </c>
      <c r="D138" s="131">
        <f t="shared" si="12"/>
        <v>0</v>
      </c>
      <c r="E138" s="148">
        <f t="shared" si="13"/>
        <v>0</v>
      </c>
      <c r="F138" s="148">
        <f t="shared" si="7"/>
        <v>0</v>
      </c>
      <c r="G138" s="132">
        <f t="shared" si="8"/>
        <v>0</v>
      </c>
    </row>
    <row r="139" spans="1:7" ht="12.75" hidden="1">
      <c r="A139" s="22">
        <f t="shared" si="9"/>
        <v>120</v>
      </c>
      <c r="B139" s="148">
        <f t="shared" si="10"/>
        <v>0</v>
      </c>
      <c r="C139" s="131">
        <f t="shared" si="11"/>
        <v>0</v>
      </c>
      <c r="D139" s="131">
        <f t="shared" si="12"/>
        <v>0</v>
      </c>
      <c r="E139" s="148">
        <f t="shared" si="13"/>
        <v>0</v>
      </c>
      <c r="F139" s="148">
        <f t="shared" si="7"/>
        <v>0</v>
      </c>
      <c r="G139" s="132">
        <f t="shared" si="8"/>
        <v>0</v>
      </c>
    </row>
    <row r="140" spans="1:7" ht="12.75" hidden="1">
      <c r="A140" s="22">
        <f t="shared" si="9"/>
        <v>121</v>
      </c>
      <c r="B140" s="148">
        <f t="shared" si="10"/>
        <v>0</v>
      </c>
      <c r="C140" s="131">
        <f t="shared" si="11"/>
        <v>0</v>
      </c>
      <c r="D140" s="131">
        <f t="shared" si="12"/>
        <v>0</v>
      </c>
      <c r="E140" s="148">
        <f t="shared" si="13"/>
        <v>0</v>
      </c>
      <c r="F140" s="148">
        <f t="shared" si="7"/>
        <v>0</v>
      </c>
      <c r="G140" s="132">
        <f t="shared" si="8"/>
        <v>0</v>
      </c>
    </row>
    <row r="141" spans="1:7" ht="12.75" hidden="1">
      <c r="A141" s="22">
        <f t="shared" si="9"/>
        <v>122</v>
      </c>
      <c r="B141" s="148">
        <f t="shared" si="10"/>
        <v>0</v>
      </c>
      <c r="C141" s="131">
        <f t="shared" si="11"/>
        <v>0</v>
      </c>
      <c r="D141" s="131">
        <f t="shared" si="12"/>
        <v>0</v>
      </c>
      <c r="E141" s="148">
        <f t="shared" si="13"/>
        <v>0</v>
      </c>
      <c r="F141" s="148">
        <f t="shared" si="7"/>
        <v>0</v>
      </c>
      <c r="G141" s="132">
        <f t="shared" si="8"/>
        <v>0</v>
      </c>
    </row>
    <row r="142" spans="1:7" ht="12.75" hidden="1">
      <c r="A142" s="22">
        <f t="shared" si="9"/>
        <v>123</v>
      </c>
      <c r="B142" s="148">
        <f t="shared" si="10"/>
        <v>0</v>
      </c>
      <c r="C142" s="131">
        <f t="shared" si="11"/>
        <v>0</v>
      </c>
      <c r="D142" s="131">
        <f t="shared" si="12"/>
        <v>0</v>
      </c>
      <c r="E142" s="148">
        <f t="shared" si="13"/>
        <v>0</v>
      </c>
      <c r="F142" s="148">
        <f t="shared" si="7"/>
        <v>0</v>
      </c>
      <c r="G142" s="132">
        <f t="shared" si="8"/>
        <v>0</v>
      </c>
    </row>
    <row r="143" spans="1:7" ht="12.75" hidden="1">
      <c r="A143" s="22">
        <f t="shared" si="9"/>
        <v>124</v>
      </c>
      <c r="B143" s="148">
        <f t="shared" si="10"/>
        <v>0</v>
      </c>
      <c r="C143" s="131">
        <f t="shared" si="11"/>
        <v>0</v>
      </c>
      <c r="D143" s="131">
        <f t="shared" si="12"/>
        <v>0</v>
      </c>
      <c r="E143" s="148">
        <f t="shared" si="13"/>
        <v>0</v>
      </c>
      <c r="F143" s="148">
        <f t="shared" si="7"/>
        <v>0</v>
      </c>
      <c r="G143" s="132">
        <f t="shared" si="8"/>
        <v>0</v>
      </c>
    </row>
    <row r="144" spans="1:7" ht="12.75" hidden="1">
      <c r="A144" s="22">
        <f t="shared" si="9"/>
        <v>125</v>
      </c>
      <c r="B144" s="148">
        <f t="shared" si="10"/>
        <v>0</v>
      </c>
      <c r="C144" s="131">
        <f t="shared" si="11"/>
        <v>0</v>
      </c>
      <c r="D144" s="131">
        <f t="shared" si="12"/>
        <v>0</v>
      </c>
      <c r="E144" s="148">
        <f t="shared" si="13"/>
        <v>0</v>
      </c>
      <c r="F144" s="148">
        <f t="shared" si="7"/>
        <v>0</v>
      </c>
      <c r="G144" s="132">
        <f t="shared" si="8"/>
        <v>0</v>
      </c>
    </row>
    <row r="145" spans="1:7" ht="12.75" hidden="1">
      <c r="A145" s="22">
        <f t="shared" si="9"/>
        <v>126</v>
      </c>
      <c r="B145" s="148">
        <f t="shared" si="10"/>
        <v>0</v>
      </c>
      <c r="C145" s="131">
        <f t="shared" si="11"/>
        <v>0</v>
      </c>
      <c r="D145" s="131">
        <f t="shared" si="12"/>
        <v>0</v>
      </c>
      <c r="E145" s="148">
        <f t="shared" si="13"/>
        <v>0</v>
      </c>
      <c r="F145" s="148">
        <f t="shared" si="7"/>
        <v>0</v>
      </c>
      <c r="G145" s="132">
        <f t="shared" si="8"/>
        <v>0</v>
      </c>
    </row>
    <row r="146" spans="1:7" ht="12.75" hidden="1">
      <c r="A146" s="22">
        <f t="shared" si="9"/>
        <v>127</v>
      </c>
      <c r="B146" s="148">
        <f t="shared" si="10"/>
        <v>0</v>
      </c>
      <c r="C146" s="131">
        <f t="shared" si="11"/>
        <v>0</v>
      </c>
      <c r="D146" s="131">
        <f t="shared" si="12"/>
        <v>0</v>
      </c>
      <c r="E146" s="148">
        <f t="shared" si="13"/>
        <v>0</v>
      </c>
      <c r="F146" s="148">
        <f t="shared" si="7"/>
        <v>0</v>
      </c>
      <c r="G146" s="132">
        <f t="shared" si="8"/>
        <v>0</v>
      </c>
    </row>
    <row r="147" spans="1:7" ht="12.75" hidden="1">
      <c r="A147" s="22">
        <f t="shared" si="9"/>
        <v>128</v>
      </c>
      <c r="B147" s="148">
        <f t="shared" si="10"/>
        <v>0</v>
      </c>
      <c r="C147" s="131">
        <f t="shared" si="11"/>
        <v>0</v>
      </c>
      <c r="D147" s="131">
        <f t="shared" si="12"/>
        <v>0</v>
      </c>
      <c r="E147" s="148">
        <f t="shared" si="13"/>
        <v>0</v>
      </c>
      <c r="F147" s="148">
        <f t="shared" si="7"/>
        <v>0</v>
      </c>
      <c r="G147" s="132">
        <f t="shared" si="8"/>
        <v>0</v>
      </c>
    </row>
    <row r="148" spans="1:7" ht="12.75" hidden="1">
      <c r="A148" s="22">
        <f t="shared" si="9"/>
        <v>129</v>
      </c>
      <c r="B148" s="148">
        <f t="shared" si="10"/>
        <v>0</v>
      </c>
      <c r="C148" s="131">
        <f t="shared" si="11"/>
        <v>0</v>
      </c>
      <c r="D148" s="131">
        <f t="shared" si="12"/>
        <v>0</v>
      </c>
      <c r="E148" s="148">
        <f t="shared" si="13"/>
        <v>0</v>
      </c>
      <c r="F148" s="148">
        <f aca="true" t="shared" si="14" ref="F148:F211">IF(A148=$D$10,$D$2,0)</f>
        <v>0</v>
      </c>
      <c r="G148" s="132">
        <f aca="true" t="shared" si="15" ref="G148:G211">B148-F148</f>
        <v>0</v>
      </c>
    </row>
    <row r="149" spans="1:7" ht="12.75" hidden="1">
      <c r="A149" s="22">
        <f aca="true" t="shared" si="16" ref="A149:A212">A148+1</f>
        <v>130</v>
      </c>
      <c r="B149" s="148">
        <f aca="true" t="shared" si="17" ref="B149:B212">B148-F148</f>
        <v>0</v>
      </c>
      <c r="C149" s="131">
        <f aca="true" t="shared" si="18" ref="C149:C212">IF(D149=0,0,D149+$D$13)</f>
        <v>0</v>
      </c>
      <c r="D149" s="131">
        <f aca="true" t="shared" si="19" ref="D149:D212">E149+F149</f>
        <v>0</v>
      </c>
      <c r="E149" s="148">
        <f aca="true" t="shared" si="20" ref="E149:E212">IF(B149&gt;0,E148,0)</f>
        <v>0</v>
      </c>
      <c r="F149" s="148">
        <f t="shared" si="14"/>
        <v>0</v>
      </c>
      <c r="G149" s="132">
        <f t="shared" si="15"/>
        <v>0</v>
      </c>
    </row>
    <row r="150" spans="1:7" ht="12.75" hidden="1">
      <c r="A150" s="22">
        <f t="shared" si="16"/>
        <v>131</v>
      </c>
      <c r="B150" s="148">
        <f t="shared" si="17"/>
        <v>0</v>
      </c>
      <c r="C150" s="131">
        <f t="shared" si="18"/>
        <v>0</v>
      </c>
      <c r="D150" s="131">
        <f t="shared" si="19"/>
        <v>0</v>
      </c>
      <c r="E150" s="148">
        <f t="shared" si="20"/>
        <v>0</v>
      </c>
      <c r="F150" s="148">
        <f t="shared" si="14"/>
        <v>0</v>
      </c>
      <c r="G150" s="132">
        <f t="shared" si="15"/>
        <v>0</v>
      </c>
    </row>
    <row r="151" spans="1:7" ht="12.75" hidden="1">
      <c r="A151" s="22">
        <f t="shared" si="16"/>
        <v>132</v>
      </c>
      <c r="B151" s="148">
        <f t="shared" si="17"/>
        <v>0</v>
      </c>
      <c r="C151" s="131">
        <f t="shared" si="18"/>
        <v>0</v>
      </c>
      <c r="D151" s="131">
        <f t="shared" si="19"/>
        <v>0</v>
      </c>
      <c r="E151" s="148">
        <f t="shared" si="20"/>
        <v>0</v>
      </c>
      <c r="F151" s="148">
        <f t="shared" si="14"/>
        <v>0</v>
      </c>
      <c r="G151" s="132">
        <f t="shared" si="15"/>
        <v>0</v>
      </c>
    </row>
    <row r="152" spans="1:7" ht="12.75" hidden="1">
      <c r="A152" s="22">
        <f t="shared" si="16"/>
        <v>133</v>
      </c>
      <c r="B152" s="148">
        <f t="shared" si="17"/>
        <v>0</v>
      </c>
      <c r="C152" s="131">
        <f t="shared" si="18"/>
        <v>0</v>
      </c>
      <c r="D152" s="131">
        <f t="shared" si="19"/>
        <v>0</v>
      </c>
      <c r="E152" s="148">
        <f t="shared" si="20"/>
        <v>0</v>
      </c>
      <c r="F152" s="148">
        <f t="shared" si="14"/>
        <v>0</v>
      </c>
      <c r="G152" s="132">
        <f t="shared" si="15"/>
        <v>0</v>
      </c>
    </row>
    <row r="153" spans="1:7" ht="12.75" hidden="1">
      <c r="A153" s="22">
        <f t="shared" si="16"/>
        <v>134</v>
      </c>
      <c r="B153" s="148">
        <f t="shared" si="17"/>
        <v>0</v>
      </c>
      <c r="C153" s="131">
        <f t="shared" si="18"/>
        <v>0</v>
      </c>
      <c r="D153" s="131">
        <f t="shared" si="19"/>
        <v>0</v>
      </c>
      <c r="E153" s="148">
        <f t="shared" si="20"/>
        <v>0</v>
      </c>
      <c r="F153" s="148">
        <f t="shared" si="14"/>
        <v>0</v>
      </c>
      <c r="G153" s="132">
        <f t="shared" si="15"/>
        <v>0</v>
      </c>
    </row>
    <row r="154" spans="1:7" ht="12.75" hidden="1">
      <c r="A154" s="22">
        <f t="shared" si="16"/>
        <v>135</v>
      </c>
      <c r="B154" s="148">
        <f t="shared" si="17"/>
        <v>0</v>
      </c>
      <c r="C154" s="131">
        <f t="shared" si="18"/>
        <v>0</v>
      </c>
      <c r="D154" s="131">
        <f t="shared" si="19"/>
        <v>0</v>
      </c>
      <c r="E154" s="148">
        <f t="shared" si="20"/>
        <v>0</v>
      </c>
      <c r="F154" s="148">
        <f t="shared" si="14"/>
        <v>0</v>
      </c>
      <c r="G154" s="132">
        <f t="shared" si="15"/>
        <v>0</v>
      </c>
    </row>
    <row r="155" spans="1:7" ht="12.75" hidden="1">
      <c r="A155" s="22">
        <f t="shared" si="16"/>
        <v>136</v>
      </c>
      <c r="B155" s="148">
        <f t="shared" si="17"/>
        <v>0</v>
      </c>
      <c r="C155" s="131">
        <f t="shared" si="18"/>
        <v>0</v>
      </c>
      <c r="D155" s="131">
        <f t="shared" si="19"/>
        <v>0</v>
      </c>
      <c r="E155" s="148">
        <f t="shared" si="20"/>
        <v>0</v>
      </c>
      <c r="F155" s="148">
        <f t="shared" si="14"/>
        <v>0</v>
      </c>
      <c r="G155" s="132">
        <f t="shared" si="15"/>
        <v>0</v>
      </c>
    </row>
    <row r="156" spans="1:7" ht="12.75" hidden="1">
      <c r="A156" s="22">
        <f t="shared" si="16"/>
        <v>137</v>
      </c>
      <c r="B156" s="148">
        <f t="shared" si="17"/>
        <v>0</v>
      </c>
      <c r="C156" s="131">
        <f t="shared" si="18"/>
        <v>0</v>
      </c>
      <c r="D156" s="131">
        <f t="shared" si="19"/>
        <v>0</v>
      </c>
      <c r="E156" s="148">
        <f t="shared" si="20"/>
        <v>0</v>
      </c>
      <c r="F156" s="148">
        <f t="shared" si="14"/>
        <v>0</v>
      </c>
      <c r="G156" s="132">
        <f t="shared" si="15"/>
        <v>0</v>
      </c>
    </row>
    <row r="157" spans="1:7" ht="12.75" hidden="1">
      <c r="A157" s="22">
        <f t="shared" si="16"/>
        <v>138</v>
      </c>
      <c r="B157" s="148">
        <f t="shared" si="17"/>
        <v>0</v>
      </c>
      <c r="C157" s="131">
        <f t="shared" si="18"/>
        <v>0</v>
      </c>
      <c r="D157" s="131">
        <f t="shared" si="19"/>
        <v>0</v>
      </c>
      <c r="E157" s="148">
        <f t="shared" si="20"/>
        <v>0</v>
      </c>
      <c r="F157" s="148">
        <f t="shared" si="14"/>
        <v>0</v>
      </c>
      <c r="G157" s="132">
        <f t="shared" si="15"/>
        <v>0</v>
      </c>
    </row>
    <row r="158" spans="1:7" ht="12.75" hidden="1">
      <c r="A158" s="22">
        <f t="shared" si="16"/>
        <v>139</v>
      </c>
      <c r="B158" s="148">
        <f t="shared" si="17"/>
        <v>0</v>
      </c>
      <c r="C158" s="131">
        <f t="shared" si="18"/>
        <v>0</v>
      </c>
      <c r="D158" s="131">
        <f t="shared" si="19"/>
        <v>0</v>
      </c>
      <c r="E158" s="148">
        <f t="shared" si="20"/>
        <v>0</v>
      </c>
      <c r="F158" s="148">
        <f t="shared" si="14"/>
        <v>0</v>
      </c>
      <c r="G158" s="132">
        <f t="shared" si="15"/>
        <v>0</v>
      </c>
    </row>
    <row r="159" spans="1:7" ht="12.75" hidden="1">
      <c r="A159" s="22">
        <f t="shared" si="16"/>
        <v>140</v>
      </c>
      <c r="B159" s="148">
        <f t="shared" si="17"/>
        <v>0</v>
      </c>
      <c r="C159" s="131">
        <f t="shared" si="18"/>
        <v>0</v>
      </c>
      <c r="D159" s="131">
        <f t="shared" si="19"/>
        <v>0</v>
      </c>
      <c r="E159" s="148">
        <f t="shared" si="20"/>
        <v>0</v>
      </c>
      <c r="F159" s="148">
        <f t="shared" si="14"/>
        <v>0</v>
      </c>
      <c r="G159" s="132">
        <f t="shared" si="15"/>
        <v>0</v>
      </c>
    </row>
    <row r="160" spans="1:7" ht="12.75" hidden="1">
      <c r="A160" s="22">
        <f t="shared" si="16"/>
        <v>141</v>
      </c>
      <c r="B160" s="148">
        <f t="shared" si="17"/>
        <v>0</v>
      </c>
      <c r="C160" s="131">
        <f t="shared" si="18"/>
        <v>0</v>
      </c>
      <c r="D160" s="131">
        <f t="shared" si="19"/>
        <v>0</v>
      </c>
      <c r="E160" s="148">
        <f t="shared" si="20"/>
        <v>0</v>
      </c>
      <c r="F160" s="148">
        <f t="shared" si="14"/>
        <v>0</v>
      </c>
      <c r="G160" s="132">
        <f t="shared" si="15"/>
        <v>0</v>
      </c>
    </row>
    <row r="161" spans="1:7" ht="12.75" hidden="1">
      <c r="A161" s="22">
        <f t="shared" si="16"/>
        <v>142</v>
      </c>
      <c r="B161" s="148">
        <f t="shared" si="17"/>
        <v>0</v>
      </c>
      <c r="C161" s="131">
        <f t="shared" si="18"/>
        <v>0</v>
      </c>
      <c r="D161" s="131">
        <f t="shared" si="19"/>
        <v>0</v>
      </c>
      <c r="E161" s="148">
        <f t="shared" si="20"/>
        <v>0</v>
      </c>
      <c r="F161" s="148">
        <f t="shared" si="14"/>
        <v>0</v>
      </c>
      <c r="G161" s="132">
        <f t="shared" si="15"/>
        <v>0</v>
      </c>
    </row>
    <row r="162" spans="1:7" ht="12.75" hidden="1">
      <c r="A162" s="22">
        <f t="shared" si="16"/>
        <v>143</v>
      </c>
      <c r="B162" s="148">
        <f t="shared" si="17"/>
        <v>0</v>
      </c>
      <c r="C162" s="131">
        <f t="shared" si="18"/>
        <v>0</v>
      </c>
      <c r="D162" s="131">
        <f t="shared" si="19"/>
        <v>0</v>
      </c>
      <c r="E162" s="148">
        <f t="shared" si="20"/>
        <v>0</v>
      </c>
      <c r="F162" s="148">
        <f t="shared" si="14"/>
        <v>0</v>
      </c>
      <c r="G162" s="132">
        <f t="shared" si="15"/>
        <v>0</v>
      </c>
    </row>
    <row r="163" spans="1:7" ht="12.75" hidden="1">
      <c r="A163" s="22">
        <f t="shared" si="16"/>
        <v>144</v>
      </c>
      <c r="B163" s="148">
        <f t="shared" si="17"/>
        <v>0</v>
      </c>
      <c r="C163" s="131">
        <f t="shared" si="18"/>
        <v>0</v>
      </c>
      <c r="D163" s="131">
        <f t="shared" si="19"/>
        <v>0</v>
      </c>
      <c r="E163" s="148">
        <f t="shared" si="20"/>
        <v>0</v>
      </c>
      <c r="F163" s="148">
        <f t="shared" si="14"/>
        <v>0</v>
      </c>
      <c r="G163" s="132">
        <f t="shared" si="15"/>
        <v>0</v>
      </c>
    </row>
    <row r="164" spans="1:7" ht="12.75" hidden="1">
      <c r="A164" s="22">
        <f t="shared" si="16"/>
        <v>145</v>
      </c>
      <c r="B164" s="148">
        <f t="shared" si="17"/>
        <v>0</v>
      </c>
      <c r="C164" s="131">
        <f t="shared" si="18"/>
        <v>0</v>
      </c>
      <c r="D164" s="131">
        <f t="shared" si="19"/>
        <v>0</v>
      </c>
      <c r="E164" s="148">
        <f t="shared" si="20"/>
        <v>0</v>
      </c>
      <c r="F164" s="148">
        <f t="shared" si="14"/>
        <v>0</v>
      </c>
      <c r="G164" s="132">
        <f t="shared" si="15"/>
        <v>0</v>
      </c>
    </row>
    <row r="165" spans="1:7" ht="12.75" hidden="1">
      <c r="A165" s="22">
        <f t="shared" si="16"/>
        <v>146</v>
      </c>
      <c r="B165" s="148">
        <f t="shared" si="17"/>
        <v>0</v>
      </c>
      <c r="C165" s="131">
        <f t="shared" si="18"/>
        <v>0</v>
      </c>
      <c r="D165" s="131">
        <f t="shared" si="19"/>
        <v>0</v>
      </c>
      <c r="E165" s="148">
        <f t="shared" si="20"/>
        <v>0</v>
      </c>
      <c r="F165" s="148">
        <f t="shared" si="14"/>
        <v>0</v>
      </c>
      <c r="G165" s="132">
        <f t="shared" si="15"/>
        <v>0</v>
      </c>
    </row>
    <row r="166" spans="1:7" ht="12.75" hidden="1">
      <c r="A166" s="22">
        <f t="shared" si="16"/>
        <v>147</v>
      </c>
      <c r="B166" s="148">
        <f t="shared" si="17"/>
        <v>0</v>
      </c>
      <c r="C166" s="131">
        <f t="shared" si="18"/>
        <v>0</v>
      </c>
      <c r="D166" s="131">
        <f t="shared" si="19"/>
        <v>0</v>
      </c>
      <c r="E166" s="148">
        <f t="shared" si="20"/>
        <v>0</v>
      </c>
      <c r="F166" s="148">
        <f t="shared" si="14"/>
        <v>0</v>
      </c>
      <c r="G166" s="132">
        <f t="shared" si="15"/>
        <v>0</v>
      </c>
    </row>
    <row r="167" spans="1:7" ht="12.75" hidden="1">
      <c r="A167" s="22">
        <f t="shared" si="16"/>
        <v>148</v>
      </c>
      <c r="B167" s="148">
        <f t="shared" si="17"/>
        <v>0</v>
      </c>
      <c r="C167" s="131">
        <f t="shared" si="18"/>
        <v>0</v>
      </c>
      <c r="D167" s="131">
        <f t="shared" si="19"/>
        <v>0</v>
      </c>
      <c r="E167" s="148">
        <f t="shared" si="20"/>
        <v>0</v>
      </c>
      <c r="F167" s="148">
        <f t="shared" si="14"/>
        <v>0</v>
      </c>
      <c r="G167" s="132">
        <f t="shared" si="15"/>
        <v>0</v>
      </c>
    </row>
    <row r="168" spans="1:7" ht="12.75" hidden="1">
      <c r="A168" s="22">
        <f t="shared" si="16"/>
        <v>149</v>
      </c>
      <c r="B168" s="148">
        <f t="shared" si="17"/>
        <v>0</v>
      </c>
      <c r="C168" s="131">
        <f t="shared" si="18"/>
        <v>0</v>
      </c>
      <c r="D168" s="131">
        <f t="shared" si="19"/>
        <v>0</v>
      </c>
      <c r="E168" s="148">
        <f t="shared" si="20"/>
        <v>0</v>
      </c>
      <c r="F168" s="148">
        <f t="shared" si="14"/>
        <v>0</v>
      </c>
      <c r="G168" s="132">
        <f t="shared" si="15"/>
        <v>0</v>
      </c>
    </row>
    <row r="169" spans="1:7" ht="12.75" hidden="1">
      <c r="A169" s="22">
        <f t="shared" si="16"/>
        <v>150</v>
      </c>
      <c r="B169" s="148">
        <f t="shared" si="17"/>
        <v>0</v>
      </c>
      <c r="C169" s="131">
        <f t="shared" si="18"/>
        <v>0</v>
      </c>
      <c r="D169" s="131">
        <f t="shared" si="19"/>
        <v>0</v>
      </c>
      <c r="E169" s="148">
        <f t="shared" si="20"/>
        <v>0</v>
      </c>
      <c r="F169" s="148">
        <f t="shared" si="14"/>
        <v>0</v>
      </c>
      <c r="G169" s="132">
        <f t="shared" si="15"/>
        <v>0</v>
      </c>
    </row>
    <row r="170" spans="1:7" ht="12.75" hidden="1">
      <c r="A170" s="22">
        <f t="shared" si="16"/>
        <v>151</v>
      </c>
      <c r="B170" s="148">
        <f t="shared" si="17"/>
        <v>0</v>
      </c>
      <c r="C170" s="131">
        <f t="shared" si="18"/>
        <v>0</v>
      </c>
      <c r="D170" s="131">
        <f t="shared" si="19"/>
        <v>0</v>
      </c>
      <c r="E170" s="148">
        <f t="shared" si="20"/>
        <v>0</v>
      </c>
      <c r="F170" s="148">
        <f t="shared" si="14"/>
        <v>0</v>
      </c>
      <c r="G170" s="132">
        <f t="shared" si="15"/>
        <v>0</v>
      </c>
    </row>
    <row r="171" spans="1:7" ht="12.75" hidden="1">
      <c r="A171" s="22">
        <f t="shared" si="16"/>
        <v>152</v>
      </c>
      <c r="B171" s="148">
        <f t="shared" si="17"/>
        <v>0</v>
      </c>
      <c r="C171" s="131">
        <f t="shared" si="18"/>
        <v>0</v>
      </c>
      <c r="D171" s="131">
        <f t="shared" si="19"/>
        <v>0</v>
      </c>
      <c r="E171" s="148">
        <f t="shared" si="20"/>
        <v>0</v>
      </c>
      <c r="F171" s="148">
        <f t="shared" si="14"/>
        <v>0</v>
      </c>
      <c r="G171" s="132">
        <f t="shared" si="15"/>
        <v>0</v>
      </c>
    </row>
    <row r="172" spans="1:7" ht="12.75" hidden="1">
      <c r="A172" s="22">
        <f t="shared" si="16"/>
        <v>153</v>
      </c>
      <c r="B172" s="148">
        <f t="shared" si="17"/>
        <v>0</v>
      </c>
      <c r="C172" s="131">
        <f t="shared" si="18"/>
        <v>0</v>
      </c>
      <c r="D172" s="131">
        <f t="shared" si="19"/>
        <v>0</v>
      </c>
      <c r="E172" s="148">
        <f t="shared" si="20"/>
        <v>0</v>
      </c>
      <c r="F172" s="148">
        <f t="shared" si="14"/>
        <v>0</v>
      </c>
      <c r="G172" s="132">
        <f t="shared" si="15"/>
        <v>0</v>
      </c>
    </row>
    <row r="173" spans="1:7" ht="12.75" hidden="1">
      <c r="A173" s="22">
        <f t="shared" si="16"/>
        <v>154</v>
      </c>
      <c r="B173" s="148">
        <f t="shared" si="17"/>
        <v>0</v>
      </c>
      <c r="C173" s="131">
        <f t="shared" si="18"/>
        <v>0</v>
      </c>
      <c r="D173" s="131">
        <f t="shared" si="19"/>
        <v>0</v>
      </c>
      <c r="E173" s="148">
        <f t="shared" si="20"/>
        <v>0</v>
      </c>
      <c r="F173" s="148">
        <f t="shared" si="14"/>
        <v>0</v>
      </c>
      <c r="G173" s="132">
        <f t="shared" si="15"/>
        <v>0</v>
      </c>
    </row>
    <row r="174" spans="1:7" ht="12.75" hidden="1">
      <c r="A174" s="22">
        <f t="shared" si="16"/>
        <v>155</v>
      </c>
      <c r="B174" s="148">
        <f t="shared" si="17"/>
        <v>0</v>
      </c>
      <c r="C174" s="131">
        <f t="shared" si="18"/>
        <v>0</v>
      </c>
      <c r="D174" s="131">
        <f t="shared" si="19"/>
        <v>0</v>
      </c>
      <c r="E174" s="148">
        <f t="shared" si="20"/>
        <v>0</v>
      </c>
      <c r="F174" s="148">
        <f t="shared" si="14"/>
        <v>0</v>
      </c>
      <c r="G174" s="132">
        <f t="shared" si="15"/>
        <v>0</v>
      </c>
    </row>
    <row r="175" spans="1:7" ht="12.75" hidden="1">
      <c r="A175" s="22">
        <f t="shared" si="16"/>
        <v>156</v>
      </c>
      <c r="B175" s="148">
        <f t="shared" si="17"/>
        <v>0</v>
      </c>
      <c r="C175" s="131">
        <f t="shared" si="18"/>
        <v>0</v>
      </c>
      <c r="D175" s="131">
        <f t="shared" si="19"/>
        <v>0</v>
      </c>
      <c r="E175" s="148">
        <f t="shared" si="20"/>
        <v>0</v>
      </c>
      <c r="F175" s="148">
        <f t="shared" si="14"/>
        <v>0</v>
      </c>
      <c r="G175" s="132">
        <f t="shared" si="15"/>
        <v>0</v>
      </c>
    </row>
    <row r="176" spans="1:7" ht="12.75" hidden="1">
      <c r="A176" s="22">
        <f t="shared" si="16"/>
        <v>157</v>
      </c>
      <c r="B176" s="148">
        <f t="shared" si="17"/>
        <v>0</v>
      </c>
      <c r="C176" s="131">
        <f t="shared" si="18"/>
        <v>0</v>
      </c>
      <c r="D176" s="131">
        <f t="shared" si="19"/>
        <v>0</v>
      </c>
      <c r="E176" s="148">
        <f t="shared" si="20"/>
        <v>0</v>
      </c>
      <c r="F176" s="148">
        <f t="shared" si="14"/>
        <v>0</v>
      </c>
      <c r="G176" s="132">
        <f t="shared" si="15"/>
        <v>0</v>
      </c>
    </row>
    <row r="177" spans="1:7" ht="12.75" hidden="1">
      <c r="A177" s="22">
        <f t="shared" si="16"/>
        <v>158</v>
      </c>
      <c r="B177" s="148">
        <f t="shared" si="17"/>
        <v>0</v>
      </c>
      <c r="C177" s="131">
        <f t="shared" si="18"/>
        <v>0</v>
      </c>
      <c r="D177" s="131">
        <f t="shared" si="19"/>
        <v>0</v>
      </c>
      <c r="E177" s="148">
        <f t="shared" si="20"/>
        <v>0</v>
      </c>
      <c r="F177" s="148">
        <f t="shared" si="14"/>
        <v>0</v>
      </c>
      <c r="G177" s="132">
        <f t="shared" si="15"/>
        <v>0</v>
      </c>
    </row>
    <row r="178" spans="1:7" ht="12.75" hidden="1">
      <c r="A178" s="22">
        <f t="shared" si="16"/>
        <v>159</v>
      </c>
      <c r="B178" s="148">
        <f t="shared" si="17"/>
        <v>0</v>
      </c>
      <c r="C178" s="131">
        <f t="shared" si="18"/>
        <v>0</v>
      </c>
      <c r="D178" s="131">
        <f t="shared" si="19"/>
        <v>0</v>
      </c>
      <c r="E178" s="148">
        <f t="shared" si="20"/>
        <v>0</v>
      </c>
      <c r="F178" s="148">
        <f t="shared" si="14"/>
        <v>0</v>
      </c>
      <c r="G178" s="132">
        <f t="shared" si="15"/>
        <v>0</v>
      </c>
    </row>
    <row r="179" spans="1:7" ht="12.75" hidden="1">
      <c r="A179" s="22">
        <f t="shared" si="16"/>
        <v>160</v>
      </c>
      <c r="B179" s="148">
        <f t="shared" si="17"/>
        <v>0</v>
      </c>
      <c r="C179" s="131">
        <f t="shared" si="18"/>
        <v>0</v>
      </c>
      <c r="D179" s="131">
        <f t="shared" si="19"/>
        <v>0</v>
      </c>
      <c r="E179" s="148">
        <f t="shared" si="20"/>
        <v>0</v>
      </c>
      <c r="F179" s="148">
        <f t="shared" si="14"/>
        <v>0</v>
      </c>
      <c r="G179" s="132">
        <f t="shared" si="15"/>
        <v>0</v>
      </c>
    </row>
    <row r="180" spans="1:7" ht="12.75" hidden="1">
      <c r="A180" s="22">
        <f t="shared" si="16"/>
        <v>161</v>
      </c>
      <c r="B180" s="148">
        <f t="shared" si="17"/>
        <v>0</v>
      </c>
      <c r="C180" s="131">
        <f t="shared" si="18"/>
        <v>0</v>
      </c>
      <c r="D180" s="131">
        <f t="shared" si="19"/>
        <v>0</v>
      </c>
      <c r="E180" s="148">
        <f t="shared" si="20"/>
        <v>0</v>
      </c>
      <c r="F180" s="148">
        <f t="shared" si="14"/>
        <v>0</v>
      </c>
      <c r="G180" s="132">
        <f t="shared" si="15"/>
        <v>0</v>
      </c>
    </row>
    <row r="181" spans="1:7" ht="12.75" hidden="1">
      <c r="A181" s="22">
        <f t="shared" si="16"/>
        <v>162</v>
      </c>
      <c r="B181" s="148">
        <f t="shared" si="17"/>
        <v>0</v>
      </c>
      <c r="C181" s="131">
        <f t="shared" si="18"/>
        <v>0</v>
      </c>
      <c r="D181" s="131">
        <f t="shared" si="19"/>
        <v>0</v>
      </c>
      <c r="E181" s="148">
        <f t="shared" si="20"/>
        <v>0</v>
      </c>
      <c r="F181" s="148">
        <f t="shared" si="14"/>
        <v>0</v>
      </c>
      <c r="G181" s="132">
        <f t="shared" si="15"/>
        <v>0</v>
      </c>
    </row>
    <row r="182" spans="1:7" ht="12.75" hidden="1">
      <c r="A182" s="22">
        <f t="shared" si="16"/>
        <v>163</v>
      </c>
      <c r="B182" s="148">
        <f t="shared" si="17"/>
        <v>0</v>
      </c>
      <c r="C182" s="131">
        <f t="shared" si="18"/>
        <v>0</v>
      </c>
      <c r="D182" s="131">
        <f t="shared" si="19"/>
        <v>0</v>
      </c>
      <c r="E182" s="148">
        <f t="shared" si="20"/>
        <v>0</v>
      </c>
      <c r="F182" s="148">
        <f t="shared" si="14"/>
        <v>0</v>
      </c>
      <c r="G182" s="132">
        <f t="shared" si="15"/>
        <v>0</v>
      </c>
    </row>
    <row r="183" spans="1:7" ht="12.75" hidden="1">
      <c r="A183" s="22">
        <f t="shared" si="16"/>
        <v>164</v>
      </c>
      <c r="B183" s="148">
        <f t="shared" si="17"/>
        <v>0</v>
      </c>
      <c r="C183" s="131">
        <f t="shared" si="18"/>
        <v>0</v>
      </c>
      <c r="D183" s="131">
        <f t="shared" si="19"/>
        <v>0</v>
      </c>
      <c r="E183" s="148">
        <f t="shared" si="20"/>
        <v>0</v>
      </c>
      <c r="F183" s="148">
        <f t="shared" si="14"/>
        <v>0</v>
      </c>
      <c r="G183" s="132">
        <f t="shared" si="15"/>
        <v>0</v>
      </c>
    </row>
    <row r="184" spans="1:7" ht="12.75" hidden="1">
      <c r="A184" s="22">
        <f t="shared" si="16"/>
        <v>165</v>
      </c>
      <c r="B184" s="148">
        <f t="shared" si="17"/>
        <v>0</v>
      </c>
      <c r="C184" s="131">
        <f t="shared" si="18"/>
        <v>0</v>
      </c>
      <c r="D184" s="131">
        <f t="shared" si="19"/>
        <v>0</v>
      </c>
      <c r="E184" s="148">
        <f t="shared" si="20"/>
        <v>0</v>
      </c>
      <c r="F184" s="148">
        <f t="shared" si="14"/>
        <v>0</v>
      </c>
      <c r="G184" s="132">
        <f t="shared" si="15"/>
        <v>0</v>
      </c>
    </row>
    <row r="185" spans="1:7" ht="12.75" hidden="1">
      <c r="A185" s="22">
        <f t="shared" si="16"/>
        <v>166</v>
      </c>
      <c r="B185" s="148">
        <f t="shared" si="17"/>
        <v>0</v>
      </c>
      <c r="C185" s="131">
        <f t="shared" si="18"/>
        <v>0</v>
      </c>
      <c r="D185" s="131">
        <f t="shared" si="19"/>
        <v>0</v>
      </c>
      <c r="E185" s="148">
        <f t="shared" si="20"/>
        <v>0</v>
      </c>
      <c r="F185" s="148">
        <f t="shared" si="14"/>
        <v>0</v>
      </c>
      <c r="G185" s="132">
        <f t="shared" si="15"/>
        <v>0</v>
      </c>
    </row>
    <row r="186" spans="1:7" ht="12.75" hidden="1">
      <c r="A186" s="22">
        <f t="shared" si="16"/>
        <v>167</v>
      </c>
      <c r="B186" s="148">
        <f t="shared" si="17"/>
        <v>0</v>
      </c>
      <c r="C186" s="131">
        <f t="shared" si="18"/>
        <v>0</v>
      </c>
      <c r="D186" s="131">
        <f t="shared" si="19"/>
        <v>0</v>
      </c>
      <c r="E186" s="148">
        <f t="shared" si="20"/>
        <v>0</v>
      </c>
      <c r="F186" s="148">
        <f t="shared" si="14"/>
        <v>0</v>
      </c>
      <c r="G186" s="132">
        <f t="shared" si="15"/>
        <v>0</v>
      </c>
    </row>
    <row r="187" spans="1:7" ht="12.75" hidden="1">
      <c r="A187" s="22">
        <f t="shared" si="16"/>
        <v>168</v>
      </c>
      <c r="B187" s="148">
        <f t="shared" si="17"/>
        <v>0</v>
      </c>
      <c r="C187" s="131">
        <f t="shared" si="18"/>
        <v>0</v>
      </c>
      <c r="D187" s="131">
        <f t="shared" si="19"/>
        <v>0</v>
      </c>
      <c r="E187" s="148">
        <f t="shared" si="20"/>
        <v>0</v>
      </c>
      <c r="F187" s="148">
        <f t="shared" si="14"/>
        <v>0</v>
      </c>
      <c r="G187" s="132">
        <f t="shared" si="15"/>
        <v>0</v>
      </c>
    </row>
    <row r="188" spans="1:7" ht="12.75" hidden="1">
      <c r="A188" s="22">
        <f t="shared" si="16"/>
        <v>169</v>
      </c>
      <c r="B188" s="148">
        <f t="shared" si="17"/>
        <v>0</v>
      </c>
      <c r="C188" s="131">
        <f t="shared" si="18"/>
        <v>0</v>
      </c>
      <c r="D188" s="131">
        <f t="shared" si="19"/>
        <v>0</v>
      </c>
      <c r="E188" s="148">
        <f t="shared" si="20"/>
        <v>0</v>
      </c>
      <c r="F188" s="148">
        <f t="shared" si="14"/>
        <v>0</v>
      </c>
      <c r="G188" s="132">
        <f t="shared" si="15"/>
        <v>0</v>
      </c>
    </row>
    <row r="189" spans="1:7" ht="12.75" hidden="1">
      <c r="A189" s="22">
        <f t="shared" si="16"/>
        <v>170</v>
      </c>
      <c r="B189" s="148">
        <f t="shared" si="17"/>
        <v>0</v>
      </c>
      <c r="C189" s="131">
        <f t="shared" si="18"/>
        <v>0</v>
      </c>
      <c r="D189" s="131">
        <f t="shared" si="19"/>
        <v>0</v>
      </c>
      <c r="E189" s="148">
        <f t="shared" si="20"/>
        <v>0</v>
      </c>
      <c r="F189" s="148">
        <f t="shared" si="14"/>
        <v>0</v>
      </c>
      <c r="G189" s="132">
        <f t="shared" si="15"/>
        <v>0</v>
      </c>
    </row>
    <row r="190" spans="1:7" ht="12.75" hidden="1">
      <c r="A190" s="22">
        <f t="shared" si="16"/>
        <v>171</v>
      </c>
      <c r="B190" s="148">
        <f t="shared" si="17"/>
        <v>0</v>
      </c>
      <c r="C190" s="131">
        <f t="shared" si="18"/>
        <v>0</v>
      </c>
      <c r="D190" s="131">
        <f t="shared" si="19"/>
        <v>0</v>
      </c>
      <c r="E190" s="148">
        <f t="shared" si="20"/>
        <v>0</v>
      </c>
      <c r="F190" s="148">
        <f t="shared" si="14"/>
        <v>0</v>
      </c>
      <c r="G190" s="132">
        <f t="shared" si="15"/>
        <v>0</v>
      </c>
    </row>
    <row r="191" spans="1:7" ht="12.75" hidden="1">
      <c r="A191" s="22">
        <f t="shared" si="16"/>
        <v>172</v>
      </c>
      <c r="B191" s="148">
        <f t="shared" si="17"/>
        <v>0</v>
      </c>
      <c r="C191" s="131">
        <f t="shared" si="18"/>
        <v>0</v>
      </c>
      <c r="D191" s="131">
        <f t="shared" si="19"/>
        <v>0</v>
      </c>
      <c r="E191" s="148">
        <f t="shared" si="20"/>
        <v>0</v>
      </c>
      <c r="F191" s="148">
        <f t="shared" si="14"/>
        <v>0</v>
      </c>
      <c r="G191" s="132">
        <f t="shared" si="15"/>
        <v>0</v>
      </c>
    </row>
    <row r="192" spans="1:7" ht="12.75" hidden="1">
      <c r="A192" s="22">
        <f t="shared" si="16"/>
        <v>173</v>
      </c>
      <c r="B192" s="148">
        <f t="shared" si="17"/>
        <v>0</v>
      </c>
      <c r="C192" s="131">
        <f t="shared" si="18"/>
        <v>0</v>
      </c>
      <c r="D192" s="131">
        <f t="shared" si="19"/>
        <v>0</v>
      </c>
      <c r="E192" s="148">
        <f t="shared" si="20"/>
        <v>0</v>
      </c>
      <c r="F192" s="148">
        <f t="shared" si="14"/>
        <v>0</v>
      </c>
      <c r="G192" s="132">
        <f t="shared" si="15"/>
        <v>0</v>
      </c>
    </row>
    <row r="193" spans="1:7" ht="12.75" hidden="1">
      <c r="A193" s="22">
        <f t="shared" si="16"/>
        <v>174</v>
      </c>
      <c r="B193" s="148">
        <f t="shared" si="17"/>
        <v>0</v>
      </c>
      <c r="C193" s="131">
        <f t="shared" si="18"/>
        <v>0</v>
      </c>
      <c r="D193" s="131">
        <f t="shared" si="19"/>
        <v>0</v>
      </c>
      <c r="E193" s="148">
        <f t="shared" si="20"/>
        <v>0</v>
      </c>
      <c r="F193" s="148">
        <f t="shared" si="14"/>
        <v>0</v>
      </c>
      <c r="G193" s="132">
        <f t="shared" si="15"/>
        <v>0</v>
      </c>
    </row>
    <row r="194" spans="1:7" ht="12.75" hidden="1">
      <c r="A194" s="22">
        <f t="shared" si="16"/>
        <v>175</v>
      </c>
      <c r="B194" s="148">
        <f t="shared" si="17"/>
        <v>0</v>
      </c>
      <c r="C194" s="131">
        <f t="shared" si="18"/>
        <v>0</v>
      </c>
      <c r="D194" s="131">
        <f t="shared" si="19"/>
        <v>0</v>
      </c>
      <c r="E194" s="148">
        <f t="shared" si="20"/>
        <v>0</v>
      </c>
      <c r="F194" s="148">
        <f t="shared" si="14"/>
        <v>0</v>
      </c>
      <c r="G194" s="132">
        <f t="shared" si="15"/>
        <v>0</v>
      </c>
    </row>
    <row r="195" spans="1:7" ht="12.75" hidden="1">
      <c r="A195" s="22">
        <f t="shared" si="16"/>
        <v>176</v>
      </c>
      <c r="B195" s="148">
        <f t="shared" si="17"/>
        <v>0</v>
      </c>
      <c r="C195" s="131">
        <f t="shared" si="18"/>
        <v>0</v>
      </c>
      <c r="D195" s="131">
        <f t="shared" si="19"/>
        <v>0</v>
      </c>
      <c r="E195" s="148">
        <f t="shared" si="20"/>
        <v>0</v>
      </c>
      <c r="F195" s="148">
        <f t="shared" si="14"/>
        <v>0</v>
      </c>
      <c r="G195" s="132">
        <f t="shared" si="15"/>
        <v>0</v>
      </c>
    </row>
    <row r="196" spans="1:7" ht="12.75" hidden="1">
      <c r="A196" s="22">
        <f t="shared" si="16"/>
        <v>177</v>
      </c>
      <c r="B196" s="148">
        <f t="shared" si="17"/>
        <v>0</v>
      </c>
      <c r="C196" s="131">
        <f t="shared" si="18"/>
        <v>0</v>
      </c>
      <c r="D196" s="131">
        <f t="shared" si="19"/>
        <v>0</v>
      </c>
      <c r="E196" s="148">
        <f t="shared" si="20"/>
        <v>0</v>
      </c>
      <c r="F196" s="148">
        <f t="shared" si="14"/>
        <v>0</v>
      </c>
      <c r="G196" s="132">
        <f t="shared" si="15"/>
        <v>0</v>
      </c>
    </row>
    <row r="197" spans="1:7" ht="12.75" hidden="1">
      <c r="A197" s="22">
        <f t="shared" si="16"/>
        <v>178</v>
      </c>
      <c r="B197" s="148">
        <f t="shared" si="17"/>
        <v>0</v>
      </c>
      <c r="C197" s="131">
        <f t="shared" si="18"/>
        <v>0</v>
      </c>
      <c r="D197" s="131">
        <f t="shared" si="19"/>
        <v>0</v>
      </c>
      <c r="E197" s="148">
        <f t="shared" si="20"/>
        <v>0</v>
      </c>
      <c r="F197" s="148">
        <f t="shared" si="14"/>
        <v>0</v>
      </c>
      <c r="G197" s="132">
        <f t="shared" si="15"/>
        <v>0</v>
      </c>
    </row>
    <row r="198" spans="1:7" ht="12.75" hidden="1">
      <c r="A198" s="22">
        <f t="shared" si="16"/>
        <v>179</v>
      </c>
      <c r="B198" s="148">
        <f t="shared" si="17"/>
        <v>0</v>
      </c>
      <c r="C198" s="131">
        <f t="shared" si="18"/>
        <v>0</v>
      </c>
      <c r="D198" s="131">
        <f t="shared" si="19"/>
        <v>0</v>
      </c>
      <c r="E198" s="148">
        <f t="shared" si="20"/>
        <v>0</v>
      </c>
      <c r="F198" s="148">
        <f t="shared" si="14"/>
        <v>0</v>
      </c>
      <c r="G198" s="132">
        <f t="shared" si="15"/>
        <v>0</v>
      </c>
    </row>
    <row r="199" spans="1:7" ht="12.75" hidden="1">
      <c r="A199" s="22">
        <f t="shared" si="16"/>
        <v>180</v>
      </c>
      <c r="B199" s="148">
        <f t="shared" si="17"/>
        <v>0</v>
      </c>
      <c r="C199" s="131">
        <f t="shared" si="18"/>
        <v>0</v>
      </c>
      <c r="D199" s="131">
        <f t="shared" si="19"/>
        <v>0</v>
      </c>
      <c r="E199" s="148">
        <f t="shared" si="20"/>
        <v>0</v>
      </c>
      <c r="F199" s="148">
        <f t="shared" si="14"/>
        <v>0</v>
      </c>
      <c r="G199" s="132">
        <f t="shared" si="15"/>
        <v>0</v>
      </c>
    </row>
    <row r="200" spans="1:7" ht="12.75" hidden="1">
      <c r="A200" s="22">
        <f t="shared" si="16"/>
        <v>181</v>
      </c>
      <c r="B200" s="148">
        <f t="shared" si="17"/>
        <v>0</v>
      </c>
      <c r="C200" s="131">
        <f t="shared" si="18"/>
        <v>0</v>
      </c>
      <c r="D200" s="131">
        <f t="shared" si="19"/>
        <v>0</v>
      </c>
      <c r="E200" s="148">
        <f t="shared" si="20"/>
        <v>0</v>
      </c>
      <c r="F200" s="148">
        <f t="shared" si="14"/>
        <v>0</v>
      </c>
      <c r="G200" s="132">
        <f t="shared" si="15"/>
        <v>0</v>
      </c>
    </row>
    <row r="201" spans="1:7" ht="12.75" hidden="1">
      <c r="A201" s="22">
        <f t="shared" si="16"/>
        <v>182</v>
      </c>
      <c r="B201" s="148">
        <f t="shared" si="17"/>
        <v>0</v>
      </c>
      <c r="C201" s="131">
        <f t="shared" si="18"/>
        <v>0</v>
      </c>
      <c r="D201" s="131">
        <f t="shared" si="19"/>
        <v>0</v>
      </c>
      <c r="E201" s="148">
        <f t="shared" si="20"/>
        <v>0</v>
      </c>
      <c r="F201" s="148">
        <f t="shared" si="14"/>
        <v>0</v>
      </c>
      <c r="G201" s="132">
        <f t="shared" si="15"/>
        <v>0</v>
      </c>
    </row>
    <row r="202" spans="1:7" ht="12.75" hidden="1">
      <c r="A202" s="22">
        <f t="shared" si="16"/>
        <v>183</v>
      </c>
      <c r="B202" s="148">
        <f t="shared" si="17"/>
        <v>0</v>
      </c>
      <c r="C202" s="131">
        <f t="shared" si="18"/>
        <v>0</v>
      </c>
      <c r="D202" s="131">
        <f t="shared" si="19"/>
        <v>0</v>
      </c>
      <c r="E202" s="148">
        <f t="shared" si="20"/>
        <v>0</v>
      </c>
      <c r="F202" s="148">
        <f t="shared" si="14"/>
        <v>0</v>
      </c>
      <c r="G202" s="132">
        <f t="shared" si="15"/>
        <v>0</v>
      </c>
    </row>
    <row r="203" spans="1:7" ht="12.75" hidden="1">
      <c r="A203" s="22">
        <f t="shared" si="16"/>
        <v>184</v>
      </c>
      <c r="B203" s="148">
        <f t="shared" si="17"/>
        <v>0</v>
      </c>
      <c r="C203" s="131">
        <f t="shared" si="18"/>
        <v>0</v>
      </c>
      <c r="D203" s="131">
        <f t="shared" si="19"/>
        <v>0</v>
      </c>
      <c r="E203" s="148">
        <f t="shared" si="20"/>
        <v>0</v>
      </c>
      <c r="F203" s="148">
        <f t="shared" si="14"/>
        <v>0</v>
      </c>
      <c r="G203" s="132">
        <f t="shared" si="15"/>
        <v>0</v>
      </c>
    </row>
    <row r="204" spans="1:7" ht="12.75" hidden="1">
      <c r="A204" s="22">
        <f t="shared" si="16"/>
        <v>185</v>
      </c>
      <c r="B204" s="148">
        <f t="shared" si="17"/>
        <v>0</v>
      </c>
      <c r="C204" s="131">
        <f t="shared" si="18"/>
        <v>0</v>
      </c>
      <c r="D204" s="131">
        <f t="shared" si="19"/>
        <v>0</v>
      </c>
      <c r="E204" s="148">
        <f t="shared" si="20"/>
        <v>0</v>
      </c>
      <c r="F204" s="148">
        <f t="shared" si="14"/>
        <v>0</v>
      </c>
      <c r="G204" s="132">
        <f t="shared" si="15"/>
        <v>0</v>
      </c>
    </row>
    <row r="205" spans="1:7" ht="12.75" hidden="1">
      <c r="A205" s="22">
        <f t="shared" si="16"/>
        <v>186</v>
      </c>
      <c r="B205" s="148">
        <f t="shared" si="17"/>
        <v>0</v>
      </c>
      <c r="C205" s="131">
        <f t="shared" si="18"/>
        <v>0</v>
      </c>
      <c r="D205" s="131">
        <f t="shared" si="19"/>
        <v>0</v>
      </c>
      <c r="E205" s="148">
        <f t="shared" si="20"/>
        <v>0</v>
      </c>
      <c r="F205" s="148">
        <f t="shared" si="14"/>
        <v>0</v>
      </c>
      <c r="G205" s="132">
        <f t="shared" si="15"/>
        <v>0</v>
      </c>
    </row>
    <row r="206" spans="1:7" ht="12.75" hidden="1">
      <c r="A206" s="22">
        <f t="shared" si="16"/>
        <v>187</v>
      </c>
      <c r="B206" s="148">
        <f t="shared" si="17"/>
        <v>0</v>
      </c>
      <c r="C206" s="131">
        <f t="shared" si="18"/>
        <v>0</v>
      </c>
      <c r="D206" s="131">
        <f t="shared" si="19"/>
        <v>0</v>
      </c>
      <c r="E206" s="148">
        <f t="shared" si="20"/>
        <v>0</v>
      </c>
      <c r="F206" s="148">
        <f t="shared" si="14"/>
        <v>0</v>
      </c>
      <c r="G206" s="132">
        <f t="shared" si="15"/>
        <v>0</v>
      </c>
    </row>
    <row r="207" spans="1:7" ht="12.75" hidden="1">
      <c r="A207" s="22">
        <f t="shared" si="16"/>
        <v>188</v>
      </c>
      <c r="B207" s="148">
        <f t="shared" si="17"/>
        <v>0</v>
      </c>
      <c r="C207" s="131">
        <f t="shared" si="18"/>
        <v>0</v>
      </c>
      <c r="D207" s="131">
        <f t="shared" si="19"/>
        <v>0</v>
      </c>
      <c r="E207" s="148">
        <f t="shared" si="20"/>
        <v>0</v>
      </c>
      <c r="F207" s="148">
        <f t="shared" si="14"/>
        <v>0</v>
      </c>
      <c r="G207" s="132">
        <f t="shared" si="15"/>
        <v>0</v>
      </c>
    </row>
    <row r="208" spans="1:7" ht="12.75" hidden="1">
      <c r="A208" s="22">
        <f t="shared" si="16"/>
        <v>189</v>
      </c>
      <c r="B208" s="148">
        <f t="shared" si="17"/>
        <v>0</v>
      </c>
      <c r="C208" s="131">
        <f t="shared" si="18"/>
        <v>0</v>
      </c>
      <c r="D208" s="131">
        <f t="shared" si="19"/>
        <v>0</v>
      </c>
      <c r="E208" s="148">
        <f t="shared" si="20"/>
        <v>0</v>
      </c>
      <c r="F208" s="148">
        <f t="shared" si="14"/>
        <v>0</v>
      </c>
      <c r="G208" s="132">
        <f t="shared" si="15"/>
        <v>0</v>
      </c>
    </row>
    <row r="209" spans="1:7" ht="12.75" hidden="1">
      <c r="A209" s="22">
        <f t="shared" si="16"/>
        <v>190</v>
      </c>
      <c r="B209" s="148">
        <f t="shared" si="17"/>
        <v>0</v>
      </c>
      <c r="C209" s="131">
        <f t="shared" si="18"/>
        <v>0</v>
      </c>
      <c r="D209" s="131">
        <f t="shared" si="19"/>
        <v>0</v>
      </c>
      <c r="E209" s="148">
        <f t="shared" si="20"/>
        <v>0</v>
      </c>
      <c r="F209" s="148">
        <f t="shared" si="14"/>
        <v>0</v>
      </c>
      <c r="G209" s="132">
        <f t="shared" si="15"/>
        <v>0</v>
      </c>
    </row>
    <row r="210" spans="1:7" ht="12.75" hidden="1">
      <c r="A210" s="22">
        <f t="shared" si="16"/>
        <v>191</v>
      </c>
      <c r="B210" s="148">
        <f t="shared" si="17"/>
        <v>0</v>
      </c>
      <c r="C210" s="131">
        <f t="shared" si="18"/>
        <v>0</v>
      </c>
      <c r="D210" s="131">
        <f t="shared" si="19"/>
        <v>0</v>
      </c>
      <c r="E210" s="148">
        <f t="shared" si="20"/>
        <v>0</v>
      </c>
      <c r="F210" s="148">
        <f t="shared" si="14"/>
        <v>0</v>
      </c>
      <c r="G210" s="132">
        <f t="shared" si="15"/>
        <v>0</v>
      </c>
    </row>
    <row r="211" spans="1:7" ht="12.75" hidden="1">
      <c r="A211" s="22">
        <f t="shared" si="16"/>
        <v>192</v>
      </c>
      <c r="B211" s="148">
        <f t="shared" si="17"/>
        <v>0</v>
      </c>
      <c r="C211" s="131">
        <f t="shared" si="18"/>
        <v>0</v>
      </c>
      <c r="D211" s="131">
        <f t="shared" si="19"/>
        <v>0</v>
      </c>
      <c r="E211" s="148">
        <f t="shared" si="20"/>
        <v>0</v>
      </c>
      <c r="F211" s="148">
        <f t="shared" si="14"/>
        <v>0</v>
      </c>
      <c r="G211" s="132">
        <f t="shared" si="15"/>
        <v>0</v>
      </c>
    </row>
    <row r="212" spans="1:7" ht="12.75" hidden="1">
      <c r="A212" s="22">
        <f t="shared" si="16"/>
        <v>193</v>
      </c>
      <c r="B212" s="148">
        <f t="shared" si="17"/>
        <v>0</v>
      </c>
      <c r="C212" s="131">
        <f t="shared" si="18"/>
        <v>0</v>
      </c>
      <c r="D212" s="131">
        <f t="shared" si="19"/>
        <v>0</v>
      </c>
      <c r="E212" s="148">
        <f t="shared" si="20"/>
        <v>0</v>
      </c>
      <c r="F212" s="148">
        <f aca="true" t="shared" si="21" ref="F212:F275">IF(A212=$D$10,$D$2,0)</f>
        <v>0</v>
      </c>
      <c r="G212" s="132">
        <f aca="true" t="shared" si="22" ref="G212:G275">B212-F212</f>
        <v>0</v>
      </c>
    </row>
    <row r="213" spans="1:7" ht="12.75" hidden="1">
      <c r="A213" s="22">
        <f aca="true" t="shared" si="23" ref="A213:A276">A212+1</f>
        <v>194</v>
      </c>
      <c r="B213" s="148">
        <f aca="true" t="shared" si="24" ref="B213:B276">B212-F212</f>
        <v>0</v>
      </c>
      <c r="C213" s="131">
        <f aca="true" t="shared" si="25" ref="C213:C276">IF(D213=0,0,D213+$D$13)</f>
        <v>0</v>
      </c>
      <c r="D213" s="131">
        <f aca="true" t="shared" si="26" ref="D213:D276">E213+F213</f>
        <v>0</v>
      </c>
      <c r="E213" s="148">
        <f aca="true" t="shared" si="27" ref="E213:E276">IF(B213&gt;0,E212,0)</f>
        <v>0</v>
      </c>
      <c r="F213" s="148">
        <f t="shared" si="21"/>
        <v>0</v>
      </c>
      <c r="G213" s="132">
        <f t="shared" si="22"/>
        <v>0</v>
      </c>
    </row>
    <row r="214" spans="1:7" ht="12.75" hidden="1">
      <c r="A214" s="22">
        <f t="shared" si="23"/>
        <v>195</v>
      </c>
      <c r="B214" s="148">
        <f t="shared" si="24"/>
        <v>0</v>
      </c>
      <c r="C214" s="131">
        <f t="shared" si="25"/>
        <v>0</v>
      </c>
      <c r="D214" s="131">
        <f t="shared" si="26"/>
        <v>0</v>
      </c>
      <c r="E214" s="148">
        <f t="shared" si="27"/>
        <v>0</v>
      </c>
      <c r="F214" s="148">
        <f t="shared" si="21"/>
        <v>0</v>
      </c>
      <c r="G214" s="132">
        <f t="shared" si="22"/>
        <v>0</v>
      </c>
    </row>
    <row r="215" spans="1:7" ht="12.75" hidden="1">
      <c r="A215" s="22">
        <f t="shared" si="23"/>
        <v>196</v>
      </c>
      <c r="B215" s="148">
        <f t="shared" si="24"/>
        <v>0</v>
      </c>
      <c r="C215" s="131">
        <f t="shared" si="25"/>
        <v>0</v>
      </c>
      <c r="D215" s="131">
        <f t="shared" si="26"/>
        <v>0</v>
      </c>
      <c r="E215" s="148">
        <f t="shared" si="27"/>
        <v>0</v>
      </c>
      <c r="F215" s="148">
        <f t="shared" si="21"/>
        <v>0</v>
      </c>
      <c r="G215" s="132">
        <f t="shared" si="22"/>
        <v>0</v>
      </c>
    </row>
    <row r="216" spans="1:7" ht="12.75" hidden="1">
      <c r="A216" s="22">
        <f t="shared" si="23"/>
        <v>197</v>
      </c>
      <c r="B216" s="148">
        <f t="shared" si="24"/>
        <v>0</v>
      </c>
      <c r="C216" s="131">
        <f t="shared" si="25"/>
        <v>0</v>
      </c>
      <c r="D216" s="131">
        <f t="shared" si="26"/>
        <v>0</v>
      </c>
      <c r="E216" s="148">
        <f t="shared" si="27"/>
        <v>0</v>
      </c>
      <c r="F216" s="148">
        <f t="shared" si="21"/>
        <v>0</v>
      </c>
      <c r="G216" s="132">
        <f t="shared" si="22"/>
        <v>0</v>
      </c>
    </row>
    <row r="217" spans="1:7" ht="12.75" hidden="1">
      <c r="A217" s="22">
        <f t="shared" si="23"/>
        <v>198</v>
      </c>
      <c r="B217" s="148">
        <f t="shared" si="24"/>
        <v>0</v>
      </c>
      <c r="C217" s="131">
        <f t="shared" si="25"/>
        <v>0</v>
      </c>
      <c r="D217" s="131">
        <f t="shared" si="26"/>
        <v>0</v>
      </c>
      <c r="E217" s="148">
        <f t="shared" si="27"/>
        <v>0</v>
      </c>
      <c r="F217" s="148">
        <f t="shared" si="21"/>
        <v>0</v>
      </c>
      <c r="G217" s="132">
        <f t="shared" si="22"/>
        <v>0</v>
      </c>
    </row>
    <row r="218" spans="1:7" ht="12.75" hidden="1">
      <c r="A218" s="22">
        <f t="shared" si="23"/>
        <v>199</v>
      </c>
      <c r="B218" s="148">
        <f t="shared" si="24"/>
        <v>0</v>
      </c>
      <c r="C218" s="131">
        <f t="shared" si="25"/>
        <v>0</v>
      </c>
      <c r="D218" s="131">
        <f t="shared" si="26"/>
        <v>0</v>
      </c>
      <c r="E218" s="148">
        <f t="shared" si="27"/>
        <v>0</v>
      </c>
      <c r="F218" s="148">
        <f t="shared" si="21"/>
        <v>0</v>
      </c>
      <c r="G218" s="132">
        <f t="shared" si="22"/>
        <v>0</v>
      </c>
    </row>
    <row r="219" spans="1:7" ht="12.75" hidden="1">
      <c r="A219" s="22">
        <f t="shared" si="23"/>
        <v>200</v>
      </c>
      <c r="B219" s="148">
        <f t="shared" si="24"/>
        <v>0</v>
      </c>
      <c r="C219" s="131">
        <f t="shared" si="25"/>
        <v>0</v>
      </c>
      <c r="D219" s="131">
        <f t="shared" si="26"/>
        <v>0</v>
      </c>
      <c r="E219" s="148">
        <f t="shared" si="27"/>
        <v>0</v>
      </c>
      <c r="F219" s="148">
        <f t="shared" si="21"/>
        <v>0</v>
      </c>
      <c r="G219" s="132">
        <f t="shared" si="22"/>
        <v>0</v>
      </c>
    </row>
    <row r="220" spans="1:7" ht="12.75" hidden="1">
      <c r="A220" s="22">
        <f t="shared" si="23"/>
        <v>201</v>
      </c>
      <c r="B220" s="148">
        <f t="shared" si="24"/>
        <v>0</v>
      </c>
      <c r="C220" s="131">
        <f t="shared" si="25"/>
        <v>0</v>
      </c>
      <c r="D220" s="131">
        <f t="shared" si="26"/>
        <v>0</v>
      </c>
      <c r="E220" s="148">
        <f t="shared" si="27"/>
        <v>0</v>
      </c>
      <c r="F220" s="148">
        <f t="shared" si="21"/>
        <v>0</v>
      </c>
      <c r="G220" s="132">
        <f t="shared" si="22"/>
        <v>0</v>
      </c>
    </row>
    <row r="221" spans="1:7" ht="12.75" hidden="1">
      <c r="A221" s="22">
        <f t="shared" si="23"/>
        <v>202</v>
      </c>
      <c r="B221" s="148">
        <f t="shared" si="24"/>
        <v>0</v>
      </c>
      <c r="C221" s="131">
        <f t="shared" si="25"/>
        <v>0</v>
      </c>
      <c r="D221" s="131">
        <f t="shared" si="26"/>
        <v>0</v>
      </c>
      <c r="E221" s="148">
        <f t="shared" si="27"/>
        <v>0</v>
      </c>
      <c r="F221" s="148">
        <f t="shared" si="21"/>
        <v>0</v>
      </c>
      <c r="G221" s="132">
        <f t="shared" si="22"/>
        <v>0</v>
      </c>
    </row>
    <row r="222" spans="1:7" ht="12.75" hidden="1">
      <c r="A222" s="22">
        <f t="shared" si="23"/>
        <v>203</v>
      </c>
      <c r="B222" s="148">
        <f t="shared" si="24"/>
        <v>0</v>
      </c>
      <c r="C222" s="131">
        <f t="shared" si="25"/>
        <v>0</v>
      </c>
      <c r="D222" s="131">
        <f t="shared" si="26"/>
        <v>0</v>
      </c>
      <c r="E222" s="148">
        <f t="shared" si="27"/>
        <v>0</v>
      </c>
      <c r="F222" s="148">
        <f t="shared" si="21"/>
        <v>0</v>
      </c>
      <c r="G222" s="132">
        <f t="shared" si="22"/>
        <v>0</v>
      </c>
    </row>
    <row r="223" spans="1:7" ht="12.75" hidden="1">
      <c r="A223" s="22">
        <f t="shared" si="23"/>
        <v>204</v>
      </c>
      <c r="B223" s="148">
        <f t="shared" si="24"/>
        <v>0</v>
      </c>
      <c r="C223" s="131">
        <f t="shared" si="25"/>
        <v>0</v>
      </c>
      <c r="D223" s="131">
        <f t="shared" si="26"/>
        <v>0</v>
      </c>
      <c r="E223" s="148">
        <f t="shared" si="27"/>
        <v>0</v>
      </c>
      <c r="F223" s="148">
        <f t="shared" si="21"/>
        <v>0</v>
      </c>
      <c r="G223" s="132">
        <f t="shared" si="22"/>
        <v>0</v>
      </c>
    </row>
    <row r="224" spans="1:7" ht="12.75" hidden="1">
      <c r="A224" s="22">
        <f t="shared" si="23"/>
        <v>205</v>
      </c>
      <c r="B224" s="148">
        <f t="shared" si="24"/>
        <v>0</v>
      </c>
      <c r="C224" s="131">
        <f t="shared" si="25"/>
        <v>0</v>
      </c>
      <c r="D224" s="131">
        <f t="shared" si="26"/>
        <v>0</v>
      </c>
      <c r="E224" s="148">
        <f t="shared" si="27"/>
        <v>0</v>
      </c>
      <c r="F224" s="148">
        <f t="shared" si="21"/>
        <v>0</v>
      </c>
      <c r="G224" s="132">
        <f t="shared" si="22"/>
        <v>0</v>
      </c>
    </row>
    <row r="225" spans="1:7" ht="12.75" hidden="1">
      <c r="A225" s="22">
        <f t="shared" si="23"/>
        <v>206</v>
      </c>
      <c r="B225" s="148">
        <f t="shared" si="24"/>
        <v>0</v>
      </c>
      <c r="C225" s="131">
        <f t="shared" si="25"/>
        <v>0</v>
      </c>
      <c r="D225" s="131">
        <f t="shared" si="26"/>
        <v>0</v>
      </c>
      <c r="E225" s="148">
        <f t="shared" si="27"/>
        <v>0</v>
      </c>
      <c r="F225" s="148">
        <f t="shared" si="21"/>
        <v>0</v>
      </c>
      <c r="G225" s="132">
        <f t="shared" si="22"/>
        <v>0</v>
      </c>
    </row>
    <row r="226" spans="1:7" ht="12.75" hidden="1">
      <c r="A226" s="22">
        <f t="shared" si="23"/>
        <v>207</v>
      </c>
      <c r="B226" s="148">
        <f t="shared" si="24"/>
        <v>0</v>
      </c>
      <c r="C226" s="131">
        <f t="shared" si="25"/>
        <v>0</v>
      </c>
      <c r="D226" s="131">
        <f t="shared" si="26"/>
        <v>0</v>
      </c>
      <c r="E226" s="148">
        <f t="shared" si="27"/>
        <v>0</v>
      </c>
      <c r="F226" s="148">
        <f t="shared" si="21"/>
        <v>0</v>
      </c>
      <c r="G226" s="132">
        <f t="shared" si="22"/>
        <v>0</v>
      </c>
    </row>
    <row r="227" spans="1:7" ht="12.75" hidden="1">
      <c r="A227" s="22">
        <f t="shared" si="23"/>
        <v>208</v>
      </c>
      <c r="B227" s="148">
        <f t="shared" si="24"/>
        <v>0</v>
      </c>
      <c r="C227" s="131">
        <f t="shared" si="25"/>
        <v>0</v>
      </c>
      <c r="D227" s="131">
        <f t="shared" si="26"/>
        <v>0</v>
      </c>
      <c r="E227" s="148">
        <f t="shared" si="27"/>
        <v>0</v>
      </c>
      <c r="F227" s="148">
        <f t="shared" si="21"/>
        <v>0</v>
      </c>
      <c r="G227" s="132">
        <f t="shared" si="22"/>
        <v>0</v>
      </c>
    </row>
    <row r="228" spans="1:7" ht="12.75" hidden="1">
      <c r="A228" s="22">
        <f t="shared" si="23"/>
        <v>209</v>
      </c>
      <c r="B228" s="148">
        <f t="shared" si="24"/>
        <v>0</v>
      </c>
      <c r="C228" s="131">
        <f t="shared" si="25"/>
        <v>0</v>
      </c>
      <c r="D228" s="131">
        <f t="shared" si="26"/>
        <v>0</v>
      </c>
      <c r="E228" s="148">
        <f t="shared" si="27"/>
        <v>0</v>
      </c>
      <c r="F228" s="148">
        <f t="shared" si="21"/>
        <v>0</v>
      </c>
      <c r="G228" s="132">
        <f t="shared" si="22"/>
        <v>0</v>
      </c>
    </row>
    <row r="229" spans="1:7" ht="12.75" hidden="1">
      <c r="A229" s="22">
        <f t="shared" si="23"/>
        <v>210</v>
      </c>
      <c r="B229" s="148">
        <f t="shared" si="24"/>
        <v>0</v>
      </c>
      <c r="C229" s="131">
        <f t="shared" si="25"/>
        <v>0</v>
      </c>
      <c r="D229" s="131">
        <f t="shared" si="26"/>
        <v>0</v>
      </c>
      <c r="E229" s="148">
        <f t="shared" si="27"/>
        <v>0</v>
      </c>
      <c r="F229" s="148">
        <f t="shared" si="21"/>
        <v>0</v>
      </c>
      <c r="G229" s="132">
        <f t="shared" si="22"/>
        <v>0</v>
      </c>
    </row>
    <row r="230" spans="1:7" ht="12.75" hidden="1">
      <c r="A230" s="22">
        <f t="shared" si="23"/>
        <v>211</v>
      </c>
      <c r="B230" s="148">
        <f t="shared" si="24"/>
        <v>0</v>
      </c>
      <c r="C230" s="131">
        <f t="shared" si="25"/>
        <v>0</v>
      </c>
      <c r="D230" s="131">
        <f t="shared" si="26"/>
        <v>0</v>
      </c>
      <c r="E230" s="148">
        <f t="shared" si="27"/>
        <v>0</v>
      </c>
      <c r="F230" s="148">
        <f t="shared" si="21"/>
        <v>0</v>
      </c>
      <c r="G230" s="132">
        <f t="shared" si="22"/>
        <v>0</v>
      </c>
    </row>
    <row r="231" spans="1:7" ht="12.75" hidden="1">
      <c r="A231" s="22">
        <f t="shared" si="23"/>
        <v>212</v>
      </c>
      <c r="B231" s="148">
        <f t="shared" si="24"/>
        <v>0</v>
      </c>
      <c r="C231" s="131">
        <f t="shared" si="25"/>
        <v>0</v>
      </c>
      <c r="D231" s="131">
        <f t="shared" si="26"/>
        <v>0</v>
      </c>
      <c r="E231" s="148">
        <f t="shared" si="27"/>
        <v>0</v>
      </c>
      <c r="F231" s="148">
        <f t="shared" si="21"/>
        <v>0</v>
      </c>
      <c r="G231" s="132">
        <f t="shared" si="22"/>
        <v>0</v>
      </c>
    </row>
    <row r="232" spans="1:7" ht="12.75" hidden="1">
      <c r="A232" s="22">
        <f t="shared" si="23"/>
        <v>213</v>
      </c>
      <c r="B232" s="148">
        <f t="shared" si="24"/>
        <v>0</v>
      </c>
      <c r="C232" s="131">
        <f t="shared" si="25"/>
        <v>0</v>
      </c>
      <c r="D232" s="131">
        <f t="shared" si="26"/>
        <v>0</v>
      </c>
      <c r="E232" s="148">
        <f t="shared" si="27"/>
        <v>0</v>
      </c>
      <c r="F232" s="148">
        <f t="shared" si="21"/>
        <v>0</v>
      </c>
      <c r="G232" s="132">
        <f t="shared" si="22"/>
        <v>0</v>
      </c>
    </row>
    <row r="233" spans="1:7" ht="12.75" hidden="1">
      <c r="A233" s="22">
        <f t="shared" si="23"/>
        <v>214</v>
      </c>
      <c r="B233" s="148">
        <f t="shared" si="24"/>
        <v>0</v>
      </c>
      <c r="C233" s="131">
        <f t="shared" si="25"/>
        <v>0</v>
      </c>
      <c r="D233" s="131">
        <f t="shared" si="26"/>
        <v>0</v>
      </c>
      <c r="E233" s="148">
        <f t="shared" si="27"/>
        <v>0</v>
      </c>
      <c r="F233" s="148">
        <f t="shared" si="21"/>
        <v>0</v>
      </c>
      <c r="G233" s="132">
        <f t="shared" si="22"/>
        <v>0</v>
      </c>
    </row>
    <row r="234" spans="1:7" ht="12.75" hidden="1">
      <c r="A234" s="22">
        <f t="shared" si="23"/>
        <v>215</v>
      </c>
      <c r="B234" s="148">
        <f t="shared" si="24"/>
        <v>0</v>
      </c>
      <c r="C234" s="131">
        <f t="shared" si="25"/>
        <v>0</v>
      </c>
      <c r="D234" s="131">
        <f t="shared" si="26"/>
        <v>0</v>
      </c>
      <c r="E234" s="148">
        <f t="shared" si="27"/>
        <v>0</v>
      </c>
      <c r="F234" s="148">
        <f t="shared" si="21"/>
        <v>0</v>
      </c>
      <c r="G234" s="132">
        <f t="shared" si="22"/>
        <v>0</v>
      </c>
    </row>
    <row r="235" spans="1:7" ht="12.75" hidden="1">
      <c r="A235" s="22">
        <f t="shared" si="23"/>
        <v>216</v>
      </c>
      <c r="B235" s="148">
        <f t="shared" si="24"/>
        <v>0</v>
      </c>
      <c r="C235" s="131">
        <f t="shared" si="25"/>
        <v>0</v>
      </c>
      <c r="D235" s="131">
        <f t="shared" si="26"/>
        <v>0</v>
      </c>
      <c r="E235" s="148">
        <f t="shared" si="27"/>
        <v>0</v>
      </c>
      <c r="F235" s="148">
        <f t="shared" si="21"/>
        <v>0</v>
      </c>
      <c r="G235" s="132">
        <f t="shared" si="22"/>
        <v>0</v>
      </c>
    </row>
    <row r="236" spans="1:7" ht="12.75" hidden="1">
      <c r="A236" s="22">
        <f t="shared" si="23"/>
        <v>217</v>
      </c>
      <c r="B236" s="148">
        <f t="shared" si="24"/>
        <v>0</v>
      </c>
      <c r="C236" s="131">
        <f t="shared" si="25"/>
        <v>0</v>
      </c>
      <c r="D236" s="131">
        <f t="shared" si="26"/>
        <v>0</v>
      </c>
      <c r="E236" s="148">
        <f t="shared" si="27"/>
        <v>0</v>
      </c>
      <c r="F236" s="148">
        <f t="shared" si="21"/>
        <v>0</v>
      </c>
      <c r="G236" s="132">
        <f t="shared" si="22"/>
        <v>0</v>
      </c>
    </row>
    <row r="237" spans="1:7" ht="12.75" hidden="1">
      <c r="A237" s="22">
        <f t="shared" si="23"/>
        <v>218</v>
      </c>
      <c r="B237" s="148">
        <f t="shared" si="24"/>
        <v>0</v>
      </c>
      <c r="C237" s="131">
        <f t="shared" si="25"/>
        <v>0</v>
      </c>
      <c r="D237" s="131">
        <f t="shared" si="26"/>
        <v>0</v>
      </c>
      <c r="E237" s="148">
        <f t="shared" si="27"/>
        <v>0</v>
      </c>
      <c r="F237" s="148">
        <f t="shared" si="21"/>
        <v>0</v>
      </c>
      <c r="G237" s="132">
        <f t="shared" si="22"/>
        <v>0</v>
      </c>
    </row>
    <row r="238" spans="1:7" ht="12.75" hidden="1">
      <c r="A238" s="22">
        <f t="shared" si="23"/>
        <v>219</v>
      </c>
      <c r="B238" s="148">
        <f t="shared" si="24"/>
        <v>0</v>
      </c>
      <c r="C238" s="131">
        <f t="shared" si="25"/>
        <v>0</v>
      </c>
      <c r="D238" s="131">
        <f t="shared" si="26"/>
        <v>0</v>
      </c>
      <c r="E238" s="148">
        <f t="shared" si="27"/>
        <v>0</v>
      </c>
      <c r="F238" s="148">
        <f t="shared" si="21"/>
        <v>0</v>
      </c>
      <c r="G238" s="132">
        <f t="shared" si="22"/>
        <v>0</v>
      </c>
    </row>
    <row r="239" spans="1:7" ht="12.75" hidden="1">
      <c r="A239" s="22">
        <f t="shared" si="23"/>
        <v>220</v>
      </c>
      <c r="B239" s="148">
        <f t="shared" si="24"/>
        <v>0</v>
      </c>
      <c r="C239" s="131">
        <f t="shared" si="25"/>
        <v>0</v>
      </c>
      <c r="D239" s="131">
        <f t="shared" si="26"/>
        <v>0</v>
      </c>
      <c r="E239" s="148">
        <f t="shared" si="27"/>
        <v>0</v>
      </c>
      <c r="F239" s="148">
        <f t="shared" si="21"/>
        <v>0</v>
      </c>
      <c r="G239" s="132">
        <f t="shared" si="22"/>
        <v>0</v>
      </c>
    </row>
    <row r="240" spans="1:7" ht="12.75" hidden="1">
      <c r="A240" s="22">
        <f t="shared" si="23"/>
        <v>221</v>
      </c>
      <c r="B240" s="148">
        <f t="shared" si="24"/>
        <v>0</v>
      </c>
      <c r="C240" s="131">
        <f t="shared" si="25"/>
        <v>0</v>
      </c>
      <c r="D240" s="131">
        <f t="shared" si="26"/>
        <v>0</v>
      </c>
      <c r="E240" s="148">
        <f t="shared" si="27"/>
        <v>0</v>
      </c>
      <c r="F240" s="148">
        <f t="shared" si="21"/>
        <v>0</v>
      </c>
      <c r="G240" s="132">
        <f t="shared" si="22"/>
        <v>0</v>
      </c>
    </row>
    <row r="241" spans="1:7" ht="12.75" hidden="1">
      <c r="A241" s="22">
        <f t="shared" si="23"/>
        <v>222</v>
      </c>
      <c r="B241" s="148">
        <f t="shared" si="24"/>
        <v>0</v>
      </c>
      <c r="C241" s="131">
        <f t="shared" si="25"/>
        <v>0</v>
      </c>
      <c r="D241" s="131">
        <f t="shared" si="26"/>
        <v>0</v>
      </c>
      <c r="E241" s="148">
        <f t="shared" si="27"/>
        <v>0</v>
      </c>
      <c r="F241" s="148">
        <f t="shared" si="21"/>
        <v>0</v>
      </c>
      <c r="G241" s="132">
        <f t="shared" si="22"/>
        <v>0</v>
      </c>
    </row>
    <row r="242" spans="1:7" ht="12.75" hidden="1">
      <c r="A242" s="22">
        <f t="shared" si="23"/>
        <v>223</v>
      </c>
      <c r="B242" s="148">
        <f t="shared" si="24"/>
        <v>0</v>
      </c>
      <c r="C242" s="131">
        <f t="shared" si="25"/>
        <v>0</v>
      </c>
      <c r="D242" s="131">
        <f t="shared" si="26"/>
        <v>0</v>
      </c>
      <c r="E242" s="148">
        <f t="shared" si="27"/>
        <v>0</v>
      </c>
      <c r="F242" s="148">
        <f t="shared" si="21"/>
        <v>0</v>
      </c>
      <c r="G242" s="132">
        <f t="shared" si="22"/>
        <v>0</v>
      </c>
    </row>
    <row r="243" spans="1:7" ht="12.75" hidden="1">
      <c r="A243" s="22">
        <f t="shared" si="23"/>
        <v>224</v>
      </c>
      <c r="B243" s="148">
        <f t="shared" si="24"/>
        <v>0</v>
      </c>
      <c r="C243" s="131">
        <f t="shared" si="25"/>
        <v>0</v>
      </c>
      <c r="D243" s="131">
        <f t="shared" si="26"/>
        <v>0</v>
      </c>
      <c r="E243" s="148">
        <f t="shared" si="27"/>
        <v>0</v>
      </c>
      <c r="F243" s="148">
        <f t="shared" si="21"/>
        <v>0</v>
      </c>
      <c r="G243" s="132">
        <f t="shared" si="22"/>
        <v>0</v>
      </c>
    </row>
    <row r="244" spans="1:7" ht="12.75" hidden="1">
      <c r="A244" s="22">
        <f t="shared" si="23"/>
        <v>225</v>
      </c>
      <c r="B244" s="148">
        <f t="shared" si="24"/>
        <v>0</v>
      </c>
      <c r="C244" s="131">
        <f t="shared" si="25"/>
        <v>0</v>
      </c>
      <c r="D244" s="131">
        <f t="shared" si="26"/>
        <v>0</v>
      </c>
      <c r="E244" s="148">
        <f t="shared" si="27"/>
        <v>0</v>
      </c>
      <c r="F244" s="148">
        <f t="shared" si="21"/>
        <v>0</v>
      </c>
      <c r="G244" s="132">
        <f t="shared" si="22"/>
        <v>0</v>
      </c>
    </row>
    <row r="245" spans="1:7" ht="12.75" hidden="1">
      <c r="A245" s="22">
        <f t="shared" si="23"/>
        <v>226</v>
      </c>
      <c r="B245" s="148">
        <f t="shared" si="24"/>
        <v>0</v>
      </c>
      <c r="C245" s="131">
        <f t="shared" si="25"/>
        <v>0</v>
      </c>
      <c r="D245" s="131">
        <f t="shared" si="26"/>
        <v>0</v>
      </c>
      <c r="E245" s="148">
        <f t="shared" si="27"/>
        <v>0</v>
      </c>
      <c r="F245" s="148">
        <f t="shared" si="21"/>
        <v>0</v>
      </c>
      <c r="G245" s="132">
        <f t="shared" si="22"/>
        <v>0</v>
      </c>
    </row>
    <row r="246" spans="1:7" ht="12.75" hidden="1">
      <c r="A246" s="22">
        <f t="shared" si="23"/>
        <v>227</v>
      </c>
      <c r="B246" s="148">
        <f t="shared" si="24"/>
        <v>0</v>
      </c>
      <c r="C246" s="131">
        <f t="shared" si="25"/>
        <v>0</v>
      </c>
      <c r="D246" s="131">
        <f t="shared" si="26"/>
        <v>0</v>
      </c>
      <c r="E246" s="148">
        <f t="shared" si="27"/>
        <v>0</v>
      </c>
      <c r="F246" s="148">
        <f t="shared" si="21"/>
        <v>0</v>
      </c>
      <c r="G246" s="132">
        <f t="shared" si="22"/>
        <v>0</v>
      </c>
    </row>
    <row r="247" spans="1:7" ht="12.75" hidden="1">
      <c r="A247" s="22">
        <f t="shared" si="23"/>
        <v>228</v>
      </c>
      <c r="B247" s="148">
        <f t="shared" si="24"/>
        <v>0</v>
      </c>
      <c r="C247" s="131">
        <f t="shared" si="25"/>
        <v>0</v>
      </c>
      <c r="D247" s="131">
        <f t="shared" si="26"/>
        <v>0</v>
      </c>
      <c r="E247" s="148">
        <f t="shared" si="27"/>
        <v>0</v>
      </c>
      <c r="F247" s="148">
        <f t="shared" si="21"/>
        <v>0</v>
      </c>
      <c r="G247" s="132">
        <f t="shared" si="22"/>
        <v>0</v>
      </c>
    </row>
    <row r="248" spans="1:7" ht="12.75" hidden="1">
      <c r="A248" s="22">
        <f t="shared" si="23"/>
        <v>229</v>
      </c>
      <c r="B248" s="148">
        <f t="shared" si="24"/>
        <v>0</v>
      </c>
      <c r="C248" s="131">
        <f t="shared" si="25"/>
        <v>0</v>
      </c>
      <c r="D248" s="131">
        <f t="shared" si="26"/>
        <v>0</v>
      </c>
      <c r="E248" s="148">
        <f t="shared" si="27"/>
        <v>0</v>
      </c>
      <c r="F248" s="148">
        <f t="shared" si="21"/>
        <v>0</v>
      </c>
      <c r="G248" s="132">
        <f t="shared" si="22"/>
        <v>0</v>
      </c>
    </row>
    <row r="249" spans="1:7" ht="12.75" hidden="1">
      <c r="A249" s="22">
        <f t="shared" si="23"/>
        <v>230</v>
      </c>
      <c r="B249" s="148">
        <f t="shared" si="24"/>
        <v>0</v>
      </c>
      <c r="C249" s="131">
        <f t="shared" si="25"/>
        <v>0</v>
      </c>
      <c r="D249" s="131">
        <f t="shared" si="26"/>
        <v>0</v>
      </c>
      <c r="E249" s="148">
        <f t="shared" si="27"/>
        <v>0</v>
      </c>
      <c r="F249" s="148">
        <f t="shared" si="21"/>
        <v>0</v>
      </c>
      <c r="G249" s="132">
        <f t="shared" si="22"/>
        <v>0</v>
      </c>
    </row>
    <row r="250" spans="1:7" ht="12.75" hidden="1">
      <c r="A250" s="22">
        <f t="shared" si="23"/>
        <v>231</v>
      </c>
      <c r="B250" s="148">
        <f t="shared" si="24"/>
        <v>0</v>
      </c>
      <c r="C250" s="131">
        <f t="shared" si="25"/>
        <v>0</v>
      </c>
      <c r="D250" s="131">
        <f t="shared" si="26"/>
        <v>0</v>
      </c>
      <c r="E250" s="148">
        <f t="shared" si="27"/>
        <v>0</v>
      </c>
      <c r="F250" s="148">
        <f t="shared" si="21"/>
        <v>0</v>
      </c>
      <c r="G250" s="132">
        <f t="shared" si="22"/>
        <v>0</v>
      </c>
    </row>
    <row r="251" spans="1:7" ht="12.75" hidden="1">
      <c r="A251" s="22">
        <f t="shared" si="23"/>
        <v>232</v>
      </c>
      <c r="B251" s="148">
        <f t="shared" si="24"/>
        <v>0</v>
      </c>
      <c r="C251" s="131">
        <f t="shared" si="25"/>
        <v>0</v>
      </c>
      <c r="D251" s="131">
        <f t="shared" si="26"/>
        <v>0</v>
      </c>
      <c r="E251" s="148">
        <f t="shared" si="27"/>
        <v>0</v>
      </c>
      <c r="F251" s="148">
        <f t="shared" si="21"/>
        <v>0</v>
      </c>
      <c r="G251" s="132">
        <f t="shared" si="22"/>
        <v>0</v>
      </c>
    </row>
    <row r="252" spans="1:7" ht="12.75" hidden="1">
      <c r="A252" s="22">
        <f t="shared" si="23"/>
        <v>233</v>
      </c>
      <c r="B252" s="148">
        <f t="shared" si="24"/>
        <v>0</v>
      </c>
      <c r="C252" s="131">
        <f t="shared" si="25"/>
        <v>0</v>
      </c>
      <c r="D252" s="131">
        <f t="shared" si="26"/>
        <v>0</v>
      </c>
      <c r="E252" s="148">
        <f t="shared" si="27"/>
        <v>0</v>
      </c>
      <c r="F252" s="148">
        <f t="shared" si="21"/>
        <v>0</v>
      </c>
      <c r="G252" s="132">
        <f t="shared" si="22"/>
        <v>0</v>
      </c>
    </row>
    <row r="253" spans="1:7" ht="12.75" hidden="1">
      <c r="A253" s="22">
        <f t="shared" si="23"/>
        <v>234</v>
      </c>
      <c r="B253" s="148">
        <f t="shared" si="24"/>
        <v>0</v>
      </c>
      <c r="C253" s="131">
        <f t="shared" si="25"/>
        <v>0</v>
      </c>
      <c r="D253" s="131">
        <f t="shared" si="26"/>
        <v>0</v>
      </c>
      <c r="E253" s="148">
        <f t="shared" si="27"/>
        <v>0</v>
      </c>
      <c r="F253" s="148">
        <f t="shared" si="21"/>
        <v>0</v>
      </c>
      <c r="G253" s="132">
        <f t="shared" si="22"/>
        <v>0</v>
      </c>
    </row>
    <row r="254" spans="1:7" ht="12.75" hidden="1">
      <c r="A254" s="22">
        <f t="shared" si="23"/>
        <v>235</v>
      </c>
      <c r="B254" s="148">
        <f t="shared" si="24"/>
        <v>0</v>
      </c>
      <c r="C254" s="131">
        <f t="shared" si="25"/>
        <v>0</v>
      </c>
      <c r="D254" s="131">
        <f t="shared" si="26"/>
        <v>0</v>
      </c>
      <c r="E254" s="148">
        <f t="shared" si="27"/>
        <v>0</v>
      </c>
      <c r="F254" s="148">
        <f t="shared" si="21"/>
        <v>0</v>
      </c>
      <c r="G254" s="132">
        <f t="shared" si="22"/>
        <v>0</v>
      </c>
    </row>
    <row r="255" spans="1:7" ht="12.75" hidden="1">
      <c r="A255" s="22">
        <f t="shared" si="23"/>
        <v>236</v>
      </c>
      <c r="B255" s="148">
        <f t="shared" si="24"/>
        <v>0</v>
      </c>
      <c r="C255" s="131">
        <f t="shared" si="25"/>
        <v>0</v>
      </c>
      <c r="D255" s="131">
        <f t="shared" si="26"/>
        <v>0</v>
      </c>
      <c r="E255" s="148">
        <f t="shared" si="27"/>
        <v>0</v>
      </c>
      <c r="F255" s="148">
        <f t="shared" si="21"/>
        <v>0</v>
      </c>
      <c r="G255" s="132">
        <f t="shared" si="22"/>
        <v>0</v>
      </c>
    </row>
    <row r="256" spans="1:7" ht="12.75" hidden="1">
      <c r="A256" s="22">
        <f t="shared" si="23"/>
        <v>237</v>
      </c>
      <c r="B256" s="148">
        <f t="shared" si="24"/>
        <v>0</v>
      </c>
      <c r="C256" s="131">
        <f t="shared" si="25"/>
        <v>0</v>
      </c>
      <c r="D256" s="131">
        <f t="shared" si="26"/>
        <v>0</v>
      </c>
      <c r="E256" s="148">
        <f t="shared" si="27"/>
        <v>0</v>
      </c>
      <c r="F256" s="148">
        <f t="shared" si="21"/>
        <v>0</v>
      </c>
      <c r="G256" s="132">
        <f t="shared" si="22"/>
        <v>0</v>
      </c>
    </row>
    <row r="257" spans="1:7" ht="12.75" hidden="1">
      <c r="A257" s="22">
        <f t="shared" si="23"/>
        <v>238</v>
      </c>
      <c r="B257" s="148">
        <f t="shared" si="24"/>
        <v>0</v>
      </c>
      <c r="C257" s="131">
        <f t="shared" si="25"/>
        <v>0</v>
      </c>
      <c r="D257" s="131">
        <f t="shared" si="26"/>
        <v>0</v>
      </c>
      <c r="E257" s="148">
        <f t="shared" si="27"/>
        <v>0</v>
      </c>
      <c r="F257" s="148">
        <f t="shared" si="21"/>
        <v>0</v>
      </c>
      <c r="G257" s="132">
        <f t="shared" si="22"/>
        <v>0</v>
      </c>
    </row>
    <row r="258" spans="1:7" ht="12.75" hidden="1">
      <c r="A258" s="22">
        <f t="shared" si="23"/>
        <v>239</v>
      </c>
      <c r="B258" s="148">
        <f t="shared" si="24"/>
        <v>0</v>
      </c>
      <c r="C258" s="131">
        <f t="shared" si="25"/>
        <v>0</v>
      </c>
      <c r="D258" s="131">
        <f t="shared" si="26"/>
        <v>0</v>
      </c>
      <c r="E258" s="148">
        <f t="shared" si="27"/>
        <v>0</v>
      </c>
      <c r="F258" s="148">
        <f t="shared" si="21"/>
        <v>0</v>
      </c>
      <c r="G258" s="132">
        <f t="shared" si="22"/>
        <v>0</v>
      </c>
    </row>
    <row r="259" spans="1:7" ht="12.75" hidden="1">
      <c r="A259" s="22">
        <f t="shared" si="23"/>
        <v>240</v>
      </c>
      <c r="B259" s="148">
        <f t="shared" si="24"/>
        <v>0</v>
      </c>
      <c r="C259" s="131">
        <f t="shared" si="25"/>
        <v>0</v>
      </c>
      <c r="D259" s="131">
        <f t="shared" si="26"/>
        <v>0</v>
      </c>
      <c r="E259" s="148">
        <f t="shared" si="27"/>
        <v>0</v>
      </c>
      <c r="F259" s="148">
        <f t="shared" si="21"/>
        <v>0</v>
      </c>
      <c r="G259" s="132">
        <f t="shared" si="22"/>
        <v>0</v>
      </c>
    </row>
    <row r="260" spans="1:7" ht="12.75" hidden="1">
      <c r="A260" s="22">
        <f t="shared" si="23"/>
        <v>241</v>
      </c>
      <c r="B260" s="148">
        <f t="shared" si="24"/>
        <v>0</v>
      </c>
      <c r="C260" s="131">
        <f t="shared" si="25"/>
        <v>0</v>
      </c>
      <c r="D260" s="131">
        <f t="shared" si="26"/>
        <v>0</v>
      </c>
      <c r="E260" s="148">
        <f t="shared" si="27"/>
        <v>0</v>
      </c>
      <c r="F260" s="148">
        <f t="shared" si="21"/>
        <v>0</v>
      </c>
      <c r="G260" s="132">
        <f t="shared" si="22"/>
        <v>0</v>
      </c>
    </row>
    <row r="261" spans="1:7" ht="12.75" hidden="1">
      <c r="A261" s="22">
        <f t="shared" si="23"/>
        <v>242</v>
      </c>
      <c r="B261" s="148">
        <f t="shared" si="24"/>
        <v>0</v>
      </c>
      <c r="C261" s="131">
        <f t="shared" si="25"/>
        <v>0</v>
      </c>
      <c r="D261" s="131">
        <f t="shared" si="26"/>
        <v>0</v>
      </c>
      <c r="E261" s="148">
        <f t="shared" si="27"/>
        <v>0</v>
      </c>
      <c r="F261" s="148">
        <f t="shared" si="21"/>
        <v>0</v>
      </c>
      <c r="G261" s="132">
        <f t="shared" si="22"/>
        <v>0</v>
      </c>
    </row>
    <row r="262" spans="1:7" ht="12.75" hidden="1">
      <c r="A262" s="22">
        <f t="shared" si="23"/>
        <v>243</v>
      </c>
      <c r="B262" s="148">
        <f t="shared" si="24"/>
        <v>0</v>
      </c>
      <c r="C262" s="131">
        <f t="shared" si="25"/>
        <v>0</v>
      </c>
      <c r="D262" s="131">
        <f t="shared" si="26"/>
        <v>0</v>
      </c>
      <c r="E262" s="148">
        <f t="shared" si="27"/>
        <v>0</v>
      </c>
      <c r="F262" s="148">
        <f t="shared" si="21"/>
        <v>0</v>
      </c>
      <c r="G262" s="132">
        <f t="shared" si="22"/>
        <v>0</v>
      </c>
    </row>
    <row r="263" spans="1:7" ht="12.75" hidden="1">
      <c r="A263" s="22">
        <f t="shared" si="23"/>
        <v>244</v>
      </c>
      <c r="B263" s="148">
        <f t="shared" si="24"/>
        <v>0</v>
      </c>
      <c r="C263" s="131">
        <f t="shared" si="25"/>
        <v>0</v>
      </c>
      <c r="D263" s="131">
        <f t="shared" si="26"/>
        <v>0</v>
      </c>
      <c r="E263" s="148">
        <f t="shared" si="27"/>
        <v>0</v>
      </c>
      <c r="F263" s="148">
        <f t="shared" si="21"/>
        <v>0</v>
      </c>
      <c r="G263" s="132">
        <f t="shared" si="22"/>
        <v>0</v>
      </c>
    </row>
    <row r="264" spans="1:7" ht="12.75" hidden="1">
      <c r="A264" s="22">
        <f t="shared" si="23"/>
        <v>245</v>
      </c>
      <c r="B264" s="148">
        <f t="shared" si="24"/>
        <v>0</v>
      </c>
      <c r="C264" s="131">
        <f t="shared" si="25"/>
        <v>0</v>
      </c>
      <c r="D264" s="131">
        <f t="shared" si="26"/>
        <v>0</v>
      </c>
      <c r="E264" s="148">
        <f t="shared" si="27"/>
        <v>0</v>
      </c>
      <c r="F264" s="148">
        <f t="shared" si="21"/>
        <v>0</v>
      </c>
      <c r="G264" s="132">
        <f t="shared" si="22"/>
        <v>0</v>
      </c>
    </row>
    <row r="265" spans="1:7" ht="12.75" hidden="1">
      <c r="A265" s="22">
        <f t="shared" si="23"/>
        <v>246</v>
      </c>
      <c r="B265" s="148">
        <f t="shared" si="24"/>
        <v>0</v>
      </c>
      <c r="C265" s="131">
        <f t="shared" si="25"/>
        <v>0</v>
      </c>
      <c r="D265" s="131">
        <f t="shared" si="26"/>
        <v>0</v>
      </c>
      <c r="E265" s="148">
        <f t="shared" si="27"/>
        <v>0</v>
      </c>
      <c r="F265" s="148">
        <f t="shared" si="21"/>
        <v>0</v>
      </c>
      <c r="G265" s="132">
        <f t="shared" si="22"/>
        <v>0</v>
      </c>
    </row>
    <row r="266" spans="1:7" ht="12.75" hidden="1">
      <c r="A266" s="22">
        <f t="shared" si="23"/>
        <v>247</v>
      </c>
      <c r="B266" s="148">
        <f t="shared" si="24"/>
        <v>0</v>
      </c>
      <c r="C266" s="131">
        <f t="shared" si="25"/>
        <v>0</v>
      </c>
      <c r="D266" s="131">
        <f t="shared" si="26"/>
        <v>0</v>
      </c>
      <c r="E266" s="148">
        <f t="shared" si="27"/>
        <v>0</v>
      </c>
      <c r="F266" s="148">
        <f t="shared" si="21"/>
        <v>0</v>
      </c>
      <c r="G266" s="132">
        <f t="shared" si="22"/>
        <v>0</v>
      </c>
    </row>
    <row r="267" spans="1:7" ht="12.75" hidden="1">
      <c r="A267" s="22">
        <f t="shared" si="23"/>
        <v>248</v>
      </c>
      <c r="B267" s="148">
        <f t="shared" si="24"/>
        <v>0</v>
      </c>
      <c r="C267" s="131">
        <f t="shared" si="25"/>
        <v>0</v>
      </c>
      <c r="D267" s="131">
        <f t="shared" si="26"/>
        <v>0</v>
      </c>
      <c r="E267" s="148">
        <f t="shared" si="27"/>
        <v>0</v>
      </c>
      <c r="F267" s="148">
        <f t="shared" si="21"/>
        <v>0</v>
      </c>
      <c r="G267" s="132">
        <f t="shared" si="22"/>
        <v>0</v>
      </c>
    </row>
    <row r="268" spans="1:7" ht="12.75" hidden="1">
      <c r="A268" s="22">
        <f t="shared" si="23"/>
        <v>249</v>
      </c>
      <c r="B268" s="148">
        <f t="shared" si="24"/>
        <v>0</v>
      </c>
      <c r="C268" s="131">
        <f t="shared" si="25"/>
        <v>0</v>
      </c>
      <c r="D268" s="131">
        <f t="shared" si="26"/>
        <v>0</v>
      </c>
      <c r="E268" s="148">
        <f t="shared" si="27"/>
        <v>0</v>
      </c>
      <c r="F268" s="148">
        <f t="shared" si="21"/>
        <v>0</v>
      </c>
      <c r="G268" s="132">
        <f t="shared" si="22"/>
        <v>0</v>
      </c>
    </row>
    <row r="269" spans="1:7" ht="12.75" hidden="1">
      <c r="A269" s="22">
        <f t="shared" si="23"/>
        <v>250</v>
      </c>
      <c r="B269" s="148">
        <f t="shared" si="24"/>
        <v>0</v>
      </c>
      <c r="C269" s="131">
        <f t="shared" si="25"/>
        <v>0</v>
      </c>
      <c r="D269" s="131">
        <f t="shared" si="26"/>
        <v>0</v>
      </c>
      <c r="E269" s="148">
        <f t="shared" si="27"/>
        <v>0</v>
      </c>
      <c r="F269" s="148">
        <f t="shared" si="21"/>
        <v>0</v>
      </c>
      <c r="G269" s="132">
        <f t="shared" si="22"/>
        <v>0</v>
      </c>
    </row>
    <row r="270" spans="1:7" ht="12.75" hidden="1">
      <c r="A270" s="22">
        <f t="shared" si="23"/>
        <v>251</v>
      </c>
      <c r="B270" s="148">
        <f t="shared" si="24"/>
        <v>0</v>
      </c>
      <c r="C270" s="131">
        <f t="shared" si="25"/>
        <v>0</v>
      </c>
      <c r="D270" s="131">
        <f t="shared" si="26"/>
        <v>0</v>
      </c>
      <c r="E270" s="148">
        <f t="shared" si="27"/>
        <v>0</v>
      </c>
      <c r="F270" s="148">
        <f t="shared" si="21"/>
        <v>0</v>
      </c>
      <c r="G270" s="132">
        <f t="shared" si="22"/>
        <v>0</v>
      </c>
    </row>
    <row r="271" spans="1:7" ht="12.75" hidden="1">
      <c r="A271" s="22">
        <f t="shared" si="23"/>
        <v>252</v>
      </c>
      <c r="B271" s="148">
        <f t="shared" si="24"/>
        <v>0</v>
      </c>
      <c r="C271" s="131">
        <f t="shared" si="25"/>
        <v>0</v>
      </c>
      <c r="D271" s="131">
        <f t="shared" si="26"/>
        <v>0</v>
      </c>
      <c r="E271" s="148">
        <f t="shared" si="27"/>
        <v>0</v>
      </c>
      <c r="F271" s="148">
        <f t="shared" si="21"/>
        <v>0</v>
      </c>
      <c r="G271" s="132">
        <f t="shared" si="22"/>
        <v>0</v>
      </c>
    </row>
    <row r="272" spans="1:7" ht="12.75" hidden="1">
      <c r="A272" s="22">
        <f t="shared" si="23"/>
        <v>253</v>
      </c>
      <c r="B272" s="148">
        <f t="shared" si="24"/>
        <v>0</v>
      </c>
      <c r="C272" s="131">
        <f t="shared" si="25"/>
        <v>0</v>
      </c>
      <c r="D272" s="131">
        <f t="shared" si="26"/>
        <v>0</v>
      </c>
      <c r="E272" s="148">
        <f t="shared" si="27"/>
        <v>0</v>
      </c>
      <c r="F272" s="148">
        <f t="shared" si="21"/>
        <v>0</v>
      </c>
      <c r="G272" s="132">
        <f t="shared" si="22"/>
        <v>0</v>
      </c>
    </row>
    <row r="273" spans="1:7" ht="12.75" hidden="1">
      <c r="A273" s="22">
        <f t="shared" si="23"/>
        <v>254</v>
      </c>
      <c r="B273" s="148">
        <f t="shared" si="24"/>
        <v>0</v>
      </c>
      <c r="C273" s="131">
        <f t="shared" si="25"/>
        <v>0</v>
      </c>
      <c r="D273" s="131">
        <f t="shared" si="26"/>
        <v>0</v>
      </c>
      <c r="E273" s="148">
        <f t="shared" si="27"/>
        <v>0</v>
      </c>
      <c r="F273" s="148">
        <f t="shared" si="21"/>
        <v>0</v>
      </c>
      <c r="G273" s="132">
        <f t="shared" si="22"/>
        <v>0</v>
      </c>
    </row>
    <row r="274" spans="1:7" ht="12.75" hidden="1">
      <c r="A274" s="22">
        <f t="shared" si="23"/>
        <v>255</v>
      </c>
      <c r="B274" s="148">
        <f t="shared" si="24"/>
        <v>0</v>
      </c>
      <c r="C274" s="131">
        <f t="shared" si="25"/>
        <v>0</v>
      </c>
      <c r="D274" s="131">
        <f t="shared" si="26"/>
        <v>0</v>
      </c>
      <c r="E274" s="148">
        <f t="shared" si="27"/>
        <v>0</v>
      </c>
      <c r="F274" s="148">
        <f t="shared" si="21"/>
        <v>0</v>
      </c>
      <c r="G274" s="132">
        <f t="shared" si="22"/>
        <v>0</v>
      </c>
    </row>
    <row r="275" spans="1:7" ht="12.75" hidden="1">
      <c r="A275" s="22">
        <f t="shared" si="23"/>
        <v>256</v>
      </c>
      <c r="B275" s="148">
        <f t="shared" si="24"/>
        <v>0</v>
      </c>
      <c r="C275" s="131">
        <f t="shared" si="25"/>
        <v>0</v>
      </c>
      <c r="D275" s="131">
        <f t="shared" si="26"/>
        <v>0</v>
      </c>
      <c r="E275" s="148">
        <f t="shared" si="27"/>
        <v>0</v>
      </c>
      <c r="F275" s="148">
        <f t="shared" si="21"/>
        <v>0</v>
      </c>
      <c r="G275" s="132">
        <f t="shared" si="22"/>
        <v>0</v>
      </c>
    </row>
    <row r="276" spans="1:7" ht="12.75" hidden="1">
      <c r="A276" s="22">
        <f t="shared" si="23"/>
        <v>257</v>
      </c>
      <c r="B276" s="148">
        <f t="shared" si="24"/>
        <v>0</v>
      </c>
      <c r="C276" s="131">
        <f t="shared" si="25"/>
        <v>0</v>
      </c>
      <c r="D276" s="131">
        <f t="shared" si="26"/>
        <v>0</v>
      </c>
      <c r="E276" s="148">
        <f t="shared" si="27"/>
        <v>0</v>
      </c>
      <c r="F276" s="148">
        <f aca="true" t="shared" si="28" ref="F276:F339">IF(A276=$D$10,$D$2,0)</f>
        <v>0</v>
      </c>
      <c r="G276" s="132">
        <f aca="true" t="shared" si="29" ref="G276:G339">B276-F276</f>
        <v>0</v>
      </c>
    </row>
    <row r="277" spans="1:7" ht="12.75" hidden="1">
      <c r="A277" s="22">
        <f aca="true" t="shared" si="30" ref="A277:A340">A276+1</f>
        <v>258</v>
      </c>
      <c r="B277" s="148">
        <f aca="true" t="shared" si="31" ref="B277:B340">B276-F276</f>
        <v>0</v>
      </c>
      <c r="C277" s="131">
        <f aca="true" t="shared" si="32" ref="C277:C340">IF(D277=0,0,D277+$D$13)</f>
        <v>0</v>
      </c>
      <c r="D277" s="131">
        <f aca="true" t="shared" si="33" ref="D277:D340">E277+F277</f>
        <v>0</v>
      </c>
      <c r="E277" s="148">
        <f aca="true" t="shared" si="34" ref="E277:E340">IF(B277&gt;0,E276,0)</f>
        <v>0</v>
      </c>
      <c r="F277" s="148">
        <f t="shared" si="28"/>
        <v>0</v>
      </c>
      <c r="G277" s="132">
        <f t="shared" si="29"/>
        <v>0</v>
      </c>
    </row>
    <row r="278" spans="1:7" ht="12.75" hidden="1">
      <c r="A278" s="22">
        <f t="shared" si="30"/>
        <v>259</v>
      </c>
      <c r="B278" s="148">
        <f t="shared" si="31"/>
        <v>0</v>
      </c>
      <c r="C278" s="131">
        <f t="shared" si="32"/>
        <v>0</v>
      </c>
      <c r="D278" s="131">
        <f t="shared" si="33"/>
        <v>0</v>
      </c>
      <c r="E278" s="148">
        <f t="shared" si="34"/>
        <v>0</v>
      </c>
      <c r="F278" s="148">
        <f t="shared" si="28"/>
        <v>0</v>
      </c>
      <c r="G278" s="132">
        <f t="shared" si="29"/>
        <v>0</v>
      </c>
    </row>
    <row r="279" spans="1:7" ht="12.75" hidden="1">
      <c r="A279" s="22">
        <f t="shared" si="30"/>
        <v>260</v>
      </c>
      <c r="B279" s="148">
        <f t="shared" si="31"/>
        <v>0</v>
      </c>
      <c r="C279" s="131">
        <f t="shared" si="32"/>
        <v>0</v>
      </c>
      <c r="D279" s="131">
        <f t="shared" si="33"/>
        <v>0</v>
      </c>
      <c r="E279" s="148">
        <f t="shared" si="34"/>
        <v>0</v>
      </c>
      <c r="F279" s="148">
        <f t="shared" si="28"/>
        <v>0</v>
      </c>
      <c r="G279" s="132">
        <f t="shared" si="29"/>
        <v>0</v>
      </c>
    </row>
    <row r="280" spans="1:7" ht="12.75" hidden="1">
      <c r="A280" s="22">
        <f t="shared" si="30"/>
        <v>261</v>
      </c>
      <c r="B280" s="148">
        <f t="shared" si="31"/>
        <v>0</v>
      </c>
      <c r="C280" s="131">
        <f t="shared" si="32"/>
        <v>0</v>
      </c>
      <c r="D280" s="131">
        <f t="shared" si="33"/>
        <v>0</v>
      </c>
      <c r="E280" s="148">
        <f t="shared" si="34"/>
        <v>0</v>
      </c>
      <c r="F280" s="148">
        <f t="shared" si="28"/>
        <v>0</v>
      </c>
      <c r="G280" s="132">
        <f t="shared" si="29"/>
        <v>0</v>
      </c>
    </row>
    <row r="281" spans="1:7" ht="12.75" hidden="1">
      <c r="A281" s="22">
        <f t="shared" si="30"/>
        <v>262</v>
      </c>
      <c r="B281" s="148">
        <f t="shared" si="31"/>
        <v>0</v>
      </c>
      <c r="C281" s="131">
        <f t="shared" si="32"/>
        <v>0</v>
      </c>
      <c r="D281" s="131">
        <f t="shared" si="33"/>
        <v>0</v>
      </c>
      <c r="E281" s="148">
        <f t="shared" si="34"/>
        <v>0</v>
      </c>
      <c r="F281" s="148">
        <f t="shared" si="28"/>
        <v>0</v>
      </c>
      <c r="G281" s="132">
        <f t="shared" si="29"/>
        <v>0</v>
      </c>
    </row>
    <row r="282" spans="1:7" ht="12.75" hidden="1">
      <c r="A282" s="22">
        <f t="shared" si="30"/>
        <v>263</v>
      </c>
      <c r="B282" s="148">
        <f t="shared" si="31"/>
        <v>0</v>
      </c>
      <c r="C282" s="131">
        <f t="shared" si="32"/>
        <v>0</v>
      </c>
      <c r="D282" s="131">
        <f t="shared" si="33"/>
        <v>0</v>
      </c>
      <c r="E282" s="148">
        <f t="shared" si="34"/>
        <v>0</v>
      </c>
      <c r="F282" s="148">
        <f t="shared" si="28"/>
        <v>0</v>
      </c>
      <c r="G282" s="132">
        <f t="shared" si="29"/>
        <v>0</v>
      </c>
    </row>
    <row r="283" spans="1:7" ht="12.75" hidden="1">
      <c r="A283" s="22">
        <f t="shared" si="30"/>
        <v>264</v>
      </c>
      <c r="B283" s="148">
        <f t="shared" si="31"/>
        <v>0</v>
      </c>
      <c r="C283" s="131">
        <f t="shared" si="32"/>
        <v>0</v>
      </c>
      <c r="D283" s="131">
        <f t="shared" si="33"/>
        <v>0</v>
      </c>
      <c r="E283" s="148">
        <f t="shared" si="34"/>
        <v>0</v>
      </c>
      <c r="F283" s="148">
        <f t="shared" si="28"/>
        <v>0</v>
      </c>
      <c r="G283" s="132">
        <f t="shared" si="29"/>
        <v>0</v>
      </c>
    </row>
    <row r="284" spans="1:7" ht="12.75" hidden="1">
      <c r="A284" s="22">
        <f t="shared" si="30"/>
        <v>265</v>
      </c>
      <c r="B284" s="148">
        <f t="shared" si="31"/>
        <v>0</v>
      </c>
      <c r="C284" s="131">
        <f t="shared" si="32"/>
        <v>0</v>
      </c>
      <c r="D284" s="131">
        <f t="shared" si="33"/>
        <v>0</v>
      </c>
      <c r="E284" s="148">
        <f t="shared" si="34"/>
        <v>0</v>
      </c>
      <c r="F284" s="148">
        <f t="shared" si="28"/>
        <v>0</v>
      </c>
      <c r="G284" s="132">
        <f t="shared" si="29"/>
        <v>0</v>
      </c>
    </row>
    <row r="285" spans="1:7" ht="12.75" hidden="1">
      <c r="A285" s="22">
        <f t="shared" si="30"/>
        <v>266</v>
      </c>
      <c r="B285" s="148">
        <f t="shared" si="31"/>
        <v>0</v>
      </c>
      <c r="C285" s="131">
        <f t="shared" si="32"/>
        <v>0</v>
      </c>
      <c r="D285" s="131">
        <f t="shared" si="33"/>
        <v>0</v>
      </c>
      <c r="E285" s="148">
        <f t="shared" si="34"/>
        <v>0</v>
      </c>
      <c r="F285" s="148">
        <f t="shared" si="28"/>
        <v>0</v>
      </c>
      <c r="G285" s="132">
        <f t="shared" si="29"/>
        <v>0</v>
      </c>
    </row>
    <row r="286" spans="1:7" ht="12.75" hidden="1">
      <c r="A286" s="22">
        <f t="shared" si="30"/>
        <v>267</v>
      </c>
      <c r="B286" s="148">
        <f t="shared" si="31"/>
        <v>0</v>
      </c>
      <c r="C286" s="131">
        <f t="shared" si="32"/>
        <v>0</v>
      </c>
      <c r="D286" s="131">
        <f t="shared" si="33"/>
        <v>0</v>
      </c>
      <c r="E286" s="148">
        <f t="shared" si="34"/>
        <v>0</v>
      </c>
      <c r="F286" s="148">
        <f t="shared" si="28"/>
        <v>0</v>
      </c>
      <c r="G286" s="132">
        <f t="shared" si="29"/>
        <v>0</v>
      </c>
    </row>
    <row r="287" spans="1:7" ht="12.75" hidden="1">
      <c r="A287" s="22">
        <f t="shared" si="30"/>
        <v>268</v>
      </c>
      <c r="B287" s="148">
        <f t="shared" si="31"/>
        <v>0</v>
      </c>
      <c r="C287" s="131">
        <f t="shared" si="32"/>
        <v>0</v>
      </c>
      <c r="D287" s="131">
        <f t="shared" si="33"/>
        <v>0</v>
      </c>
      <c r="E287" s="148">
        <f t="shared" si="34"/>
        <v>0</v>
      </c>
      <c r="F287" s="148">
        <f t="shared" si="28"/>
        <v>0</v>
      </c>
      <c r="G287" s="132">
        <f t="shared" si="29"/>
        <v>0</v>
      </c>
    </row>
    <row r="288" spans="1:7" ht="12.75" hidden="1">
      <c r="A288" s="22">
        <f t="shared" si="30"/>
        <v>269</v>
      </c>
      <c r="B288" s="148">
        <f t="shared" si="31"/>
        <v>0</v>
      </c>
      <c r="C288" s="131">
        <f t="shared" si="32"/>
        <v>0</v>
      </c>
      <c r="D288" s="131">
        <f t="shared" si="33"/>
        <v>0</v>
      </c>
      <c r="E288" s="148">
        <f t="shared" si="34"/>
        <v>0</v>
      </c>
      <c r="F288" s="148">
        <f t="shared" si="28"/>
        <v>0</v>
      </c>
      <c r="G288" s="132">
        <f t="shared" si="29"/>
        <v>0</v>
      </c>
    </row>
    <row r="289" spans="1:7" ht="12.75" hidden="1">
      <c r="A289" s="22">
        <f t="shared" si="30"/>
        <v>270</v>
      </c>
      <c r="B289" s="148">
        <f t="shared" si="31"/>
        <v>0</v>
      </c>
      <c r="C289" s="131">
        <f t="shared" si="32"/>
        <v>0</v>
      </c>
      <c r="D289" s="131">
        <f t="shared" si="33"/>
        <v>0</v>
      </c>
      <c r="E289" s="148">
        <f t="shared" si="34"/>
        <v>0</v>
      </c>
      <c r="F289" s="148">
        <f t="shared" si="28"/>
        <v>0</v>
      </c>
      <c r="G289" s="132">
        <f t="shared" si="29"/>
        <v>0</v>
      </c>
    </row>
    <row r="290" spans="1:7" ht="12.75" hidden="1">
      <c r="A290" s="22">
        <f t="shared" si="30"/>
        <v>271</v>
      </c>
      <c r="B290" s="148">
        <f t="shared" si="31"/>
        <v>0</v>
      </c>
      <c r="C290" s="131">
        <f t="shared" si="32"/>
        <v>0</v>
      </c>
      <c r="D290" s="131">
        <f t="shared" si="33"/>
        <v>0</v>
      </c>
      <c r="E290" s="148">
        <f t="shared" si="34"/>
        <v>0</v>
      </c>
      <c r="F290" s="148">
        <f t="shared" si="28"/>
        <v>0</v>
      </c>
      <c r="G290" s="132">
        <f t="shared" si="29"/>
        <v>0</v>
      </c>
    </row>
    <row r="291" spans="1:7" ht="12.75" hidden="1">
      <c r="A291" s="22">
        <f t="shared" si="30"/>
        <v>272</v>
      </c>
      <c r="B291" s="148">
        <f t="shared" si="31"/>
        <v>0</v>
      </c>
      <c r="C291" s="131">
        <f t="shared" si="32"/>
        <v>0</v>
      </c>
      <c r="D291" s="131">
        <f t="shared" si="33"/>
        <v>0</v>
      </c>
      <c r="E291" s="148">
        <f t="shared" si="34"/>
        <v>0</v>
      </c>
      <c r="F291" s="148">
        <f t="shared" si="28"/>
        <v>0</v>
      </c>
      <c r="G291" s="132">
        <f t="shared" si="29"/>
        <v>0</v>
      </c>
    </row>
    <row r="292" spans="1:7" ht="12.75" hidden="1">
      <c r="A292" s="22">
        <f t="shared" si="30"/>
        <v>273</v>
      </c>
      <c r="B292" s="148">
        <f t="shared" si="31"/>
        <v>0</v>
      </c>
      <c r="C292" s="131">
        <f t="shared" si="32"/>
        <v>0</v>
      </c>
      <c r="D292" s="131">
        <f t="shared" si="33"/>
        <v>0</v>
      </c>
      <c r="E292" s="148">
        <f t="shared" si="34"/>
        <v>0</v>
      </c>
      <c r="F292" s="148">
        <f t="shared" si="28"/>
        <v>0</v>
      </c>
      <c r="G292" s="132">
        <f t="shared" si="29"/>
        <v>0</v>
      </c>
    </row>
    <row r="293" spans="1:7" ht="12.75" hidden="1">
      <c r="A293" s="22">
        <f t="shared" si="30"/>
        <v>274</v>
      </c>
      <c r="B293" s="148">
        <f t="shared" si="31"/>
        <v>0</v>
      </c>
      <c r="C293" s="131">
        <f t="shared" si="32"/>
        <v>0</v>
      </c>
      <c r="D293" s="131">
        <f t="shared" si="33"/>
        <v>0</v>
      </c>
      <c r="E293" s="148">
        <f t="shared" si="34"/>
        <v>0</v>
      </c>
      <c r="F293" s="148">
        <f t="shared" si="28"/>
        <v>0</v>
      </c>
      <c r="G293" s="132">
        <f t="shared" si="29"/>
        <v>0</v>
      </c>
    </row>
    <row r="294" spans="1:7" ht="12.75" hidden="1">
      <c r="A294" s="22">
        <f t="shared" si="30"/>
        <v>275</v>
      </c>
      <c r="B294" s="148">
        <f t="shared" si="31"/>
        <v>0</v>
      </c>
      <c r="C294" s="131">
        <f t="shared" si="32"/>
        <v>0</v>
      </c>
      <c r="D294" s="131">
        <f t="shared" si="33"/>
        <v>0</v>
      </c>
      <c r="E294" s="148">
        <f t="shared" si="34"/>
        <v>0</v>
      </c>
      <c r="F294" s="148">
        <f t="shared" si="28"/>
        <v>0</v>
      </c>
      <c r="G294" s="132">
        <f t="shared" si="29"/>
        <v>0</v>
      </c>
    </row>
    <row r="295" spans="1:7" ht="12.75" hidden="1">
      <c r="A295" s="22">
        <f t="shared" si="30"/>
        <v>276</v>
      </c>
      <c r="B295" s="148">
        <f t="shared" si="31"/>
        <v>0</v>
      </c>
      <c r="C295" s="131">
        <f t="shared" si="32"/>
        <v>0</v>
      </c>
      <c r="D295" s="131">
        <f t="shared" si="33"/>
        <v>0</v>
      </c>
      <c r="E295" s="148">
        <f t="shared" si="34"/>
        <v>0</v>
      </c>
      <c r="F295" s="148">
        <f t="shared" si="28"/>
        <v>0</v>
      </c>
      <c r="G295" s="132">
        <f t="shared" si="29"/>
        <v>0</v>
      </c>
    </row>
    <row r="296" spans="1:7" ht="12.75" hidden="1">
      <c r="A296" s="22">
        <f t="shared" si="30"/>
        <v>277</v>
      </c>
      <c r="B296" s="148">
        <f t="shared" si="31"/>
        <v>0</v>
      </c>
      <c r="C296" s="131">
        <f t="shared" si="32"/>
        <v>0</v>
      </c>
      <c r="D296" s="131">
        <f t="shared" si="33"/>
        <v>0</v>
      </c>
      <c r="E296" s="148">
        <f t="shared" si="34"/>
        <v>0</v>
      </c>
      <c r="F296" s="148">
        <f t="shared" si="28"/>
        <v>0</v>
      </c>
      <c r="G296" s="132">
        <f t="shared" si="29"/>
        <v>0</v>
      </c>
    </row>
    <row r="297" spans="1:7" ht="12.75" hidden="1">
      <c r="A297" s="22">
        <f t="shared" si="30"/>
        <v>278</v>
      </c>
      <c r="B297" s="148">
        <f t="shared" si="31"/>
        <v>0</v>
      </c>
      <c r="C297" s="131">
        <f t="shared" si="32"/>
        <v>0</v>
      </c>
      <c r="D297" s="131">
        <f t="shared" si="33"/>
        <v>0</v>
      </c>
      <c r="E297" s="148">
        <f t="shared" si="34"/>
        <v>0</v>
      </c>
      <c r="F297" s="148">
        <f t="shared" si="28"/>
        <v>0</v>
      </c>
      <c r="G297" s="132">
        <f t="shared" si="29"/>
        <v>0</v>
      </c>
    </row>
    <row r="298" spans="1:7" ht="12.75" hidden="1">
      <c r="A298" s="22">
        <f t="shared" si="30"/>
        <v>279</v>
      </c>
      <c r="B298" s="148">
        <f t="shared" si="31"/>
        <v>0</v>
      </c>
      <c r="C298" s="131">
        <f t="shared" si="32"/>
        <v>0</v>
      </c>
      <c r="D298" s="131">
        <f t="shared" si="33"/>
        <v>0</v>
      </c>
      <c r="E298" s="148">
        <f t="shared" si="34"/>
        <v>0</v>
      </c>
      <c r="F298" s="148">
        <f t="shared" si="28"/>
        <v>0</v>
      </c>
      <c r="G298" s="132">
        <f t="shared" si="29"/>
        <v>0</v>
      </c>
    </row>
    <row r="299" spans="1:7" ht="12.75" hidden="1">
      <c r="A299" s="22">
        <f t="shared" si="30"/>
        <v>280</v>
      </c>
      <c r="B299" s="148">
        <f t="shared" si="31"/>
        <v>0</v>
      </c>
      <c r="C299" s="131">
        <f t="shared" si="32"/>
        <v>0</v>
      </c>
      <c r="D299" s="131">
        <f t="shared" si="33"/>
        <v>0</v>
      </c>
      <c r="E299" s="148">
        <f t="shared" si="34"/>
        <v>0</v>
      </c>
      <c r="F299" s="148">
        <f t="shared" si="28"/>
        <v>0</v>
      </c>
      <c r="G299" s="132">
        <f t="shared" si="29"/>
        <v>0</v>
      </c>
    </row>
    <row r="300" spans="1:7" ht="12.75" hidden="1">
      <c r="A300" s="22">
        <f t="shared" si="30"/>
        <v>281</v>
      </c>
      <c r="B300" s="148">
        <f t="shared" si="31"/>
        <v>0</v>
      </c>
      <c r="C300" s="131">
        <f t="shared" si="32"/>
        <v>0</v>
      </c>
      <c r="D300" s="131">
        <f t="shared" si="33"/>
        <v>0</v>
      </c>
      <c r="E300" s="148">
        <f t="shared" si="34"/>
        <v>0</v>
      </c>
      <c r="F300" s="148">
        <f t="shared" si="28"/>
        <v>0</v>
      </c>
      <c r="G300" s="132">
        <f t="shared" si="29"/>
        <v>0</v>
      </c>
    </row>
    <row r="301" spans="1:7" ht="12.75" hidden="1">
      <c r="A301" s="22">
        <f t="shared" si="30"/>
        <v>282</v>
      </c>
      <c r="B301" s="148">
        <f t="shared" si="31"/>
        <v>0</v>
      </c>
      <c r="C301" s="131">
        <f t="shared" si="32"/>
        <v>0</v>
      </c>
      <c r="D301" s="131">
        <f t="shared" si="33"/>
        <v>0</v>
      </c>
      <c r="E301" s="148">
        <f t="shared" si="34"/>
        <v>0</v>
      </c>
      <c r="F301" s="148">
        <f t="shared" si="28"/>
        <v>0</v>
      </c>
      <c r="G301" s="132">
        <f t="shared" si="29"/>
        <v>0</v>
      </c>
    </row>
    <row r="302" spans="1:7" ht="12.75" hidden="1">
      <c r="A302" s="22">
        <f t="shared" si="30"/>
        <v>283</v>
      </c>
      <c r="B302" s="148">
        <f t="shared" si="31"/>
        <v>0</v>
      </c>
      <c r="C302" s="131">
        <f t="shared" si="32"/>
        <v>0</v>
      </c>
      <c r="D302" s="131">
        <f t="shared" si="33"/>
        <v>0</v>
      </c>
      <c r="E302" s="148">
        <f t="shared" si="34"/>
        <v>0</v>
      </c>
      <c r="F302" s="148">
        <f t="shared" si="28"/>
        <v>0</v>
      </c>
      <c r="G302" s="132">
        <f t="shared" si="29"/>
        <v>0</v>
      </c>
    </row>
    <row r="303" spans="1:7" ht="12.75" hidden="1">
      <c r="A303" s="22">
        <f t="shared" si="30"/>
        <v>284</v>
      </c>
      <c r="B303" s="148">
        <f t="shared" si="31"/>
        <v>0</v>
      </c>
      <c r="C303" s="131">
        <f t="shared" si="32"/>
        <v>0</v>
      </c>
      <c r="D303" s="131">
        <f t="shared" si="33"/>
        <v>0</v>
      </c>
      <c r="E303" s="148">
        <f t="shared" si="34"/>
        <v>0</v>
      </c>
      <c r="F303" s="148">
        <f t="shared" si="28"/>
        <v>0</v>
      </c>
      <c r="G303" s="132">
        <f t="shared" si="29"/>
        <v>0</v>
      </c>
    </row>
    <row r="304" spans="1:7" ht="12.75" hidden="1">
      <c r="A304" s="22">
        <f t="shared" si="30"/>
        <v>285</v>
      </c>
      <c r="B304" s="148">
        <f t="shared" si="31"/>
        <v>0</v>
      </c>
      <c r="C304" s="131">
        <f t="shared" si="32"/>
        <v>0</v>
      </c>
      <c r="D304" s="131">
        <f t="shared" si="33"/>
        <v>0</v>
      </c>
      <c r="E304" s="148">
        <f t="shared" si="34"/>
        <v>0</v>
      </c>
      <c r="F304" s="148">
        <f t="shared" si="28"/>
        <v>0</v>
      </c>
      <c r="G304" s="132">
        <f t="shared" si="29"/>
        <v>0</v>
      </c>
    </row>
    <row r="305" spans="1:7" ht="12.75" hidden="1">
      <c r="A305" s="22">
        <f t="shared" si="30"/>
        <v>286</v>
      </c>
      <c r="B305" s="148">
        <f t="shared" si="31"/>
        <v>0</v>
      </c>
      <c r="C305" s="131">
        <f t="shared" si="32"/>
        <v>0</v>
      </c>
      <c r="D305" s="131">
        <f t="shared" si="33"/>
        <v>0</v>
      </c>
      <c r="E305" s="148">
        <f t="shared" si="34"/>
        <v>0</v>
      </c>
      <c r="F305" s="148">
        <f t="shared" si="28"/>
        <v>0</v>
      </c>
      <c r="G305" s="132">
        <f t="shared" si="29"/>
        <v>0</v>
      </c>
    </row>
    <row r="306" spans="1:7" ht="12.75" hidden="1">
      <c r="A306" s="22">
        <f t="shared" si="30"/>
        <v>287</v>
      </c>
      <c r="B306" s="148">
        <f t="shared" si="31"/>
        <v>0</v>
      </c>
      <c r="C306" s="131">
        <f t="shared" si="32"/>
        <v>0</v>
      </c>
      <c r="D306" s="131">
        <f t="shared" si="33"/>
        <v>0</v>
      </c>
      <c r="E306" s="148">
        <f t="shared" si="34"/>
        <v>0</v>
      </c>
      <c r="F306" s="148">
        <f t="shared" si="28"/>
        <v>0</v>
      </c>
      <c r="G306" s="132">
        <f t="shared" si="29"/>
        <v>0</v>
      </c>
    </row>
    <row r="307" spans="1:7" ht="12.75" hidden="1">
      <c r="A307" s="22">
        <f t="shared" si="30"/>
        <v>288</v>
      </c>
      <c r="B307" s="148">
        <f t="shared" si="31"/>
        <v>0</v>
      </c>
      <c r="C307" s="131">
        <f t="shared" si="32"/>
        <v>0</v>
      </c>
      <c r="D307" s="131">
        <f t="shared" si="33"/>
        <v>0</v>
      </c>
      <c r="E307" s="148">
        <f t="shared" si="34"/>
        <v>0</v>
      </c>
      <c r="F307" s="148">
        <f t="shared" si="28"/>
        <v>0</v>
      </c>
      <c r="G307" s="132">
        <f t="shared" si="29"/>
        <v>0</v>
      </c>
    </row>
    <row r="308" spans="1:7" ht="12.75" hidden="1">
      <c r="A308" s="22">
        <f t="shared" si="30"/>
        <v>289</v>
      </c>
      <c r="B308" s="148">
        <f t="shared" si="31"/>
        <v>0</v>
      </c>
      <c r="C308" s="131">
        <f t="shared" si="32"/>
        <v>0</v>
      </c>
      <c r="D308" s="131">
        <f t="shared" si="33"/>
        <v>0</v>
      </c>
      <c r="E308" s="148">
        <f t="shared" si="34"/>
        <v>0</v>
      </c>
      <c r="F308" s="148">
        <f t="shared" si="28"/>
        <v>0</v>
      </c>
      <c r="G308" s="132">
        <f t="shared" si="29"/>
        <v>0</v>
      </c>
    </row>
    <row r="309" spans="1:7" ht="12.75" hidden="1">
      <c r="A309" s="22">
        <f t="shared" si="30"/>
        <v>290</v>
      </c>
      <c r="B309" s="148">
        <f t="shared" si="31"/>
        <v>0</v>
      </c>
      <c r="C309" s="131">
        <f t="shared" si="32"/>
        <v>0</v>
      </c>
      <c r="D309" s="131">
        <f t="shared" si="33"/>
        <v>0</v>
      </c>
      <c r="E309" s="148">
        <f t="shared" si="34"/>
        <v>0</v>
      </c>
      <c r="F309" s="148">
        <f t="shared" si="28"/>
        <v>0</v>
      </c>
      <c r="G309" s="132">
        <f t="shared" si="29"/>
        <v>0</v>
      </c>
    </row>
    <row r="310" spans="1:7" ht="12.75" hidden="1">
      <c r="A310" s="22">
        <f t="shared" si="30"/>
        <v>291</v>
      </c>
      <c r="B310" s="148">
        <f t="shared" si="31"/>
        <v>0</v>
      </c>
      <c r="C310" s="131">
        <f t="shared" si="32"/>
        <v>0</v>
      </c>
      <c r="D310" s="131">
        <f t="shared" si="33"/>
        <v>0</v>
      </c>
      <c r="E310" s="148">
        <f t="shared" si="34"/>
        <v>0</v>
      </c>
      <c r="F310" s="148">
        <f t="shared" si="28"/>
        <v>0</v>
      </c>
      <c r="G310" s="132">
        <f t="shared" si="29"/>
        <v>0</v>
      </c>
    </row>
    <row r="311" spans="1:7" ht="12.75" hidden="1">
      <c r="A311" s="22">
        <f t="shared" si="30"/>
        <v>292</v>
      </c>
      <c r="B311" s="148">
        <f t="shared" si="31"/>
        <v>0</v>
      </c>
      <c r="C311" s="131">
        <f t="shared" si="32"/>
        <v>0</v>
      </c>
      <c r="D311" s="131">
        <f t="shared" si="33"/>
        <v>0</v>
      </c>
      <c r="E311" s="148">
        <f t="shared" si="34"/>
        <v>0</v>
      </c>
      <c r="F311" s="148">
        <f t="shared" si="28"/>
        <v>0</v>
      </c>
      <c r="G311" s="132">
        <f t="shared" si="29"/>
        <v>0</v>
      </c>
    </row>
    <row r="312" spans="1:7" ht="12.75" hidden="1">
      <c r="A312" s="22">
        <f t="shared" si="30"/>
        <v>293</v>
      </c>
      <c r="B312" s="148">
        <f t="shared" si="31"/>
        <v>0</v>
      </c>
      <c r="C312" s="131">
        <f t="shared" si="32"/>
        <v>0</v>
      </c>
      <c r="D312" s="131">
        <f t="shared" si="33"/>
        <v>0</v>
      </c>
      <c r="E312" s="148">
        <f t="shared" si="34"/>
        <v>0</v>
      </c>
      <c r="F312" s="148">
        <f t="shared" si="28"/>
        <v>0</v>
      </c>
      <c r="G312" s="132">
        <f t="shared" si="29"/>
        <v>0</v>
      </c>
    </row>
    <row r="313" spans="1:7" ht="12.75" hidden="1">
      <c r="A313" s="22">
        <f t="shared" si="30"/>
        <v>294</v>
      </c>
      <c r="B313" s="148">
        <f t="shared" si="31"/>
        <v>0</v>
      </c>
      <c r="C313" s="131">
        <f t="shared" si="32"/>
        <v>0</v>
      </c>
      <c r="D313" s="131">
        <f t="shared" si="33"/>
        <v>0</v>
      </c>
      <c r="E313" s="148">
        <f t="shared" si="34"/>
        <v>0</v>
      </c>
      <c r="F313" s="148">
        <f t="shared" si="28"/>
        <v>0</v>
      </c>
      <c r="G313" s="132">
        <f t="shared" si="29"/>
        <v>0</v>
      </c>
    </row>
    <row r="314" spans="1:7" ht="12.75" hidden="1">
      <c r="A314" s="22">
        <f t="shared" si="30"/>
        <v>295</v>
      </c>
      <c r="B314" s="148">
        <f t="shared" si="31"/>
        <v>0</v>
      </c>
      <c r="C314" s="131">
        <f t="shared" si="32"/>
        <v>0</v>
      </c>
      <c r="D314" s="131">
        <f t="shared" si="33"/>
        <v>0</v>
      </c>
      <c r="E314" s="148">
        <f t="shared" si="34"/>
        <v>0</v>
      </c>
      <c r="F314" s="148">
        <f t="shared" si="28"/>
        <v>0</v>
      </c>
      <c r="G314" s="132">
        <f t="shared" si="29"/>
        <v>0</v>
      </c>
    </row>
    <row r="315" spans="1:7" ht="12.75" hidden="1">
      <c r="A315" s="22">
        <f t="shared" si="30"/>
        <v>296</v>
      </c>
      <c r="B315" s="148">
        <f t="shared" si="31"/>
        <v>0</v>
      </c>
      <c r="C315" s="131">
        <f t="shared" si="32"/>
        <v>0</v>
      </c>
      <c r="D315" s="131">
        <f t="shared" si="33"/>
        <v>0</v>
      </c>
      <c r="E315" s="148">
        <f t="shared" si="34"/>
        <v>0</v>
      </c>
      <c r="F315" s="148">
        <f t="shared" si="28"/>
        <v>0</v>
      </c>
      <c r="G315" s="132">
        <f t="shared" si="29"/>
        <v>0</v>
      </c>
    </row>
    <row r="316" spans="1:7" ht="12.75" hidden="1">
      <c r="A316" s="22">
        <f t="shared" si="30"/>
        <v>297</v>
      </c>
      <c r="B316" s="148">
        <f t="shared" si="31"/>
        <v>0</v>
      </c>
      <c r="C316" s="131">
        <f t="shared" si="32"/>
        <v>0</v>
      </c>
      <c r="D316" s="131">
        <f t="shared" si="33"/>
        <v>0</v>
      </c>
      <c r="E316" s="148">
        <f t="shared" si="34"/>
        <v>0</v>
      </c>
      <c r="F316" s="148">
        <f t="shared" si="28"/>
        <v>0</v>
      </c>
      <c r="G316" s="132">
        <f t="shared" si="29"/>
        <v>0</v>
      </c>
    </row>
    <row r="317" spans="1:7" ht="12.75" hidden="1">
      <c r="A317" s="22">
        <f t="shared" si="30"/>
        <v>298</v>
      </c>
      <c r="B317" s="148">
        <f t="shared" si="31"/>
        <v>0</v>
      </c>
      <c r="C317" s="131">
        <f t="shared" si="32"/>
        <v>0</v>
      </c>
      <c r="D317" s="131">
        <f t="shared" si="33"/>
        <v>0</v>
      </c>
      <c r="E317" s="148">
        <f t="shared" si="34"/>
        <v>0</v>
      </c>
      <c r="F317" s="148">
        <f t="shared" si="28"/>
        <v>0</v>
      </c>
      <c r="G317" s="132">
        <f t="shared" si="29"/>
        <v>0</v>
      </c>
    </row>
    <row r="318" spans="1:7" ht="12.75" hidden="1">
      <c r="A318" s="22">
        <f t="shared" si="30"/>
        <v>299</v>
      </c>
      <c r="B318" s="148">
        <f t="shared" si="31"/>
        <v>0</v>
      </c>
      <c r="C318" s="131">
        <f t="shared" si="32"/>
        <v>0</v>
      </c>
      <c r="D318" s="131">
        <f t="shared" si="33"/>
        <v>0</v>
      </c>
      <c r="E318" s="148">
        <f t="shared" si="34"/>
        <v>0</v>
      </c>
      <c r="F318" s="148">
        <f t="shared" si="28"/>
        <v>0</v>
      </c>
      <c r="G318" s="132">
        <f t="shared" si="29"/>
        <v>0</v>
      </c>
    </row>
    <row r="319" spans="1:7" ht="12.75" hidden="1">
      <c r="A319" s="22">
        <f t="shared" si="30"/>
        <v>300</v>
      </c>
      <c r="B319" s="148">
        <f t="shared" si="31"/>
        <v>0</v>
      </c>
      <c r="C319" s="131">
        <f t="shared" si="32"/>
        <v>0</v>
      </c>
      <c r="D319" s="131">
        <f t="shared" si="33"/>
        <v>0</v>
      </c>
      <c r="E319" s="148">
        <f t="shared" si="34"/>
        <v>0</v>
      </c>
      <c r="F319" s="148">
        <f t="shared" si="28"/>
        <v>0</v>
      </c>
      <c r="G319" s="132">
        <f t="shared" si="29"/>
        <v>0</v>
      </c>
    </row>
    <row r="320" spans="1:7" ht="12.75" hidden="1">
      <c r="A320" s="22">
        <f t="shared" si="30"/>
        <v>301</v>
      </c>
      <c r="B320" s="148">
        <f t="shared" si="31"/>
        <v>0</v>
      </c>
      <c r="C320" s="131">
        <f t="shared" si="32"/>
        <v>0</v>
      </c>
      <c r="D320" s="131">
        <f t="shared" si="33"/>
        <v>0</v>
      </c>
      <c r="E320" s="148">
        <f t="shared" si="34"/>
        <v>0</v>
      </c>
      <c r="F320" s="148">
        <f t="shared" si="28"/>
        <v>0</v>
      </c>
      <c r="G320" s="132">
        <f t="shared" si="29"/>
        <v>0</v>
      </c>
    </row>
    <row r="321" spans="1:7" ht="12.75" hidden="1">
      <c r="A321" s="22">
        <f t="shared" si="30"/>
        <v>302</v>
      </c>
      <c r="B321" s="148">
        <f t="shared" si="31"/>
        <v>0</v>
      </c>
      <c r="C321" s="131">
        <f t="shared" si="32"/>
        <v>0</v>
      </c>
      <c r="D321" s="131">
        <f t="shared" si="33"/>
        <v>0</v>
      </c>
      <c r="E321" s="148">
        <f t="shared" si="34"/>
        <v>0</v>
      </c>
      <c r="F321" s="148">
        <f t="shared" si="28"/>
        <v>0</v>
      </c>
      <c r="G321" s="132">
        <f t="shared" si="29"/>
        <v>0</v>
      </c>
    </row>
    <row r="322" spans="1:7" ht="12.75" hidden="1">
      <c r="A322" s="22">
        <f t="shared" si="30"/>
        <v>303</v>
      </c>
      <c r="B322" s="148">
        <f t="shared" si="31"/>
        <v>0</v>
      </c>
      <c r="C322" s="131">
        <f t="shared" si="32"/>
        <v>0</v>
      </c>
      <c r="D322" s="131">
        <f t="shared" si="33"/>
        <v>0</v>
      </c>
      <c r="E322" s="148">
        <f t="shared" si="34"/>
        <v>0</v>
      </c>
      <c r="F322" s="148">
        <f t="shared" si="28"/>
        <v>0</v>
      </c>
      <c r="G322" s="132">
        <f t="shared" si="29"/>
        <v>0</v>
      </c>
    </row>
    <row r="323" spans="1:7" ht="12.75" hidden="1">
      <c r="A323" s="22">
        <f t="shared" si="30"/>
        <v>304</v>
      </c>
      <c r="B323" s="148">
        <f t="shared" si="31"/>
        <v>0</v>
      </c>
      <c r="C323" s="131">
        <f t="shared" si="32"/>
        <v>0</v>
      </c>
      <c r="D323" s="131">
        <f t="shared" si="33"/>
        <v>0</v>
      </c>
      <c r="E323" s="148">
        <f t="shared" si="34"/>
        <v>0</v>
      </c>
      <c r="F323" s="148">
        <f t="shared" si="28"/>
        <v>0</v>
      </c>
      <c r="G323" s="132">
        <f t="shared" si="29"/>
        <v>0</v>
      </c>
    </row>
    <row r="324" spans="1:7" ht="12.75" hidden="1">
      <c r="A324" s="22">
        <f t="shared" si="30"/>
        <v>305</v>
      </c>
      <c r="B324" s="148">
        <f t="shared" si="31"/>
        <v>0</v>
      </c>
      <c r="C324" s="131">
        <f t="shared" si="32"/>
        <v>0</v>
      </c>
      <c r="D324" s="131">
        <f t="shared" si="33"/>
        <v>0</v>
      </c>
      <c r="E324" s="148">
        <f t="shared" si="34"/>
        <v>0</v>
      </c>
      <c r="F324" s="148">
        <f t="shared" si="28"/>
        <v>0</v>
      </c>
      <c r="G324" s="132">
        <f t="shared" si="29"/>
        <v>0</v>
      </c>
    </row>
    <row r="325" spans="1:7" ht="12.75" hidden="1">
      <c r="A325" s="22">
        <f t="shared" si="30"/>
        <v>306</v>
      </c>
      <c r="B325" s="148">
        <f t="shared" si="31"/>
        <v>0</v>
      </c>
      <c r="C325" s="131">
        <f t="shared" si="32"/>
        <v>0</v>
      </c>
      <c r="D325" s="131">
        <f t="shared" si="33"/>
        <v>0</v>
      </c>
      <c r="E325" s="148">
        <f t="shared" si="34"/>
        <v>0</v>
      </c>
      <c r="F325" s="148">
        <f t="shared" si="28"/>
        <v>0</v>
      </c>
      <c r="G325" s="132">
        <f t="shared" si="29"/>
        <v>0</v>
      </c>
    </row>
    <row r="326" spans="1:7" ht="12.75" hidden="1">
      <c r="A326" s="22">
        <f t="shared" si="30"/>
        <v>307</v>
      </c>
      <c r="B326" s="148">
        <f t="shared" si="31"/>
        <v>0</v>
      </c>
      <c r="C326" s="131">
        <f t="shared" si="32"/>
        <v>0</v>
      </c>
      <c r="D326" s="131">
        <f t="shared" si="33"/>
        <v>0</v>
      </c>
      <c r="E326" s="148">
        <f t="shared" si="34"/>
        <v>0</v>
      </c>
      <c r="F326" s="148">
        <f t="shared" si="28"/>
        <v>0</v>
      </c>
      <c r="G326" s="132">
        <f t="shared" si="29"/>
        <v>0</v>
      </c>
    </row>
    <row r="327" spans="1:7" ht="12.75" hidden="1">
      <c r="A327" s="22">
        <f t="shared" si="30"/>
        <v>308</v>
      </c>
      <c r="B327" s="148">
        <f t="shared" si="31"/>
        <v>0</v>
      </c>
      <c r="C327" s="131">
        <f t="shared" si="32"/>
        <v>0</v>
      </c>
      <c r="D327" s="131">
        <f t="shared" si="33"/>
        <v>0</v>
      </c>
      <c r="E327" s="148">
        <f t="shared" si="34"/>
        <v>0</v>
      </c>
      <c r="F327" s="148">
        <f t="shared" si="28"/>
        <v>0</v>
      </c>
      <c r="G327" s="132">
        <f t="shared" si="29"/>
        <v>0</v>
      </c>
    </row>
    <row r="328" spans="1:7" ht="12.75" hidden="1">
      <c r="A328" s="22">
        <f t="shared" si="30"/>
        <v>309</v>
      </c>
      <c r="B328" s="148">
        <f t="shared" si="31"/>
        <v>0</v>
      </c>
      <c r="C328" s="131">
        <f t="shared" si="32"/>
        <v>0</v>
      </c>
      <c r="D328" s="131">
        <f t="shared" si="33"/>
        <v>0</v>
      </c>
      <c r="E328" s="148">
        <f t="shared" si="34"/>
        <v>0</v>
      </c>
      <c r="F328" s="148">
        <f t="shared" si="28"/>
        <v>0</v>
      </c>
      <c r="G328" s="132">
        <f t="shared" si="29"/>
        <v>0</v>
      </c>
    </row>
    <row r="329" spans="1:7" ht="12.75" hidden="1">
      <c r="A329" s="22">
        <f t="shared" si="30"/>
        <v>310</v>
      </c>
      <c r="B329" s="148">
        <f t="shared" si="31"/>
        <v>0</v>
      </c>
      <c r="C329" s="131">
        <f t="shared" si="32"/>
        <v>0</v>
      </c>
      <c r="D329" s="131">
        <f t="shared" si="33"/>
        <v>0</v>
      </c>
      <c r="E329" s="148">
        <f t="shared" si="34"/>
        <v>0</v>
      </c>
      <c r="F329" s="148">
        <f t="shared" si="28"/>
        <v>0</v>
      </c>
      <c r="G329" s="132">
        <f t="shared" si="29"/>
        <v>0</v>
      </c>
    </row>
    <row r="330" spans="1:7" ht="12.75" hidden="1">
      <c r="A330" s="22">
        <f t="shared" si="30"/>
        <v>311</v>
      </c>
      <c r="B330" s="148">
        <f t="shared" si="31"/>
        <v>0</v>
      </c>
      <c r="C330" s="131">
        <f t="shared" si="32"/>
        <v>0</v>
      </c>
      <c r="D330" s="131">
        <f t="shared" si="33"/>
        <v>0</v>
      </c>
      <c r="E330" s="148">
        <f t="shared" si="34"/>
        <v>0</v>
      </c>
      <c r="F330" s="148">
        <f t="shared" si="28"/>
        <v>0</v>
      </c>
      <c r="G330" s="132">
        <f t="shared" si="29"/>
        <v>0</v>
      </c>
    </row>
    <row r="331" spans="1:7" ht="12.75" hidden="1">
      <c r="A331" s="22">
        <f t="shared" si="30"/>
        <v>312</v>
      </c>
      <c r="B331" s="148">
        <f t="shared" si="31"/>
        <v>0</v>
      </c>
      <c r="C331" s="131">
        <f t="shared" si="32"/>
        <v>0</v>
      </c>
      <c r="D331" s="131">
        <f t="shared" si="33"/>
        <v>0</v>
      </c>
      <c r="E331" s="148">
        <f t="shared" si="34"/>
        <v>0</v>
      </c>
      <c r="F331" s="148">
        <f t="shared" si="28"/>
        <v>0</v>
      </c>
      <c r="G331" s="132">
        <f t="shared" si="29"/>
        <v>0</v>
      </c>
    </row>
    <row r="332" spans="1:7" ht="12.75" hidden="1">
      <c r="A332" s="22">
        <f t="shared" si="30"/>
        <v>313</v>
      </c>
      <c r="B332" s="148">
        <f t="shared" si="31"/>
        <v>0</v>
      </c>
      <c r="C332" s="131">
        <f t="shared" si="32"/>
        <v>0</v>
      </c>
      <c r="D332" s="131">
        <f t="shared" si="33"/>
        <v>0</v>
      </c>
      <c r="E332" s="148">
        <f t="shared" si="34"/>
        <v>0</v>
      </c>
      <c r="F332" s="148">
        <f t="shared" si="28"/>
        <v>0</v>
      </c>
      <c r="G332" s="132">
        <f t="shared" si="29"/>
        <v>0</v>
      </c>
    </row>
    <row r="333" spans="1:7" ht="12.75" hidden="1">
      <c r="A333" s="22">
        <f t="shared" si="30"/>
        <v>314</v>
      </c>
      <c r="B333" s="148">
        <f t="shared" si="31"/>
        <v>0</v>
      </c>
      <c r="C333" s="131">
        <f t="shared" si="32"/>
        <v>0</v>
      </c>
      <c r="D333" s="131">
        <f t="shared" si="33"/>
        <v>0</v>
      </c>
      <c r="E333" s="148">
        <f t="shared" si="34"/>
        <v>0</v>
      </c>
      <c r="F333" s="148">
        <f t="shared" si="28"/>
        <v>0</v>
      </c>
      <c r="G333" s="132">
        <f t="shared" si="29"/>
        <v>0</v>
      </c>
    </row>
    <row r="334" spans="1:7" ht="12.75" hidden="1">
      <c r="A334" s="22">
        <f t="shared" si="30"/>
        <v>315</v>
      </c>
      <c r="B334" s="148">
        <f t="shared" si="31"/>
        <v>0</v>
      </c>
      <c r="C334" s="131">
        <f t="shared" si="32"/>
        <v>0</v>
      </c>
      <c r="D334" s="131">
        <f t="shared" si="33"/>
        <v>0</v>
      </c>
      <c r="E334" s="148">
        <f t="shared" si="34"/>
        <v>0</v>
      </c>
      <c r="F334" s="148">
        <f t="shared" si="28"/>
        <v>0</v>
      </c>
      <c r="G334" s="132">
        <f t="shared" si="29"/>
        <v>0</v>
      </c>
    </row>
    <row r="335" spans="1:7" ht="12.75" hidden="1">
      <c r="A335" s="22">
        <f t="shared" si="30"/>
        <v>316</v>
      </c>
      <c r="B335" s="148">
        <f t="shared" si="31"/>
        <v>0</v>
      </c>
      <c r="C335" s="131">
        <f t="shared" si="32"/>
        <v>0</v>
      </c>
      <c r="D335" s="131">
        <f t="shared" si="33"/>
        <v>0</v>
      </c>
      <c r="E335" s="148">
        <f t="shared" si="34"/>
        <v>0</v>
      </c>
      <c r="F335" s="148">
        <f t="shared" si="28"/>
        <v>0</v>
      </c>
      <c r="G335" s="132">
        <f t="shared" si="29"/>
        <v>0</v>
      </c>
    </row>
    <row r="336" spans="1:7" ht="12.75" hidden="1">
      <c r="A336" s="22">
        <f t="shared" si="30"/>
        <v>317</v>
      </c>
      <c r="B336" s="148">
        <f t="shared" si="31"/>
        <v>0</v>
      </c>
      <c r="C336" s="131">
        <f t="shared" si="32"/>
        <v>0</v>
      </c>
      <c r="D336" s="131">
        <f t="shared" si="33"/>
        <v>0</v>
      </c>
      <c r="E336" s="148">
        <f t="shared" si="34"/>
        <v>0</v>
      </c>
      <c r="F336" s="148">
        <f t="shared" si="28"/>
        <v>0</v>
      </c>
      <c r="G336" s="132">
        <f t="shared" si="29"/>
        <v>0</v>
      </c>
    </row>
    <row r="337" spans="1:7" ht="12.75" hidden="1">
      <c r="A337" s="22">
        <f t="shared" si="30"/>
        <v>318</v>
      </c>
      <c r="B337" s="148">
        <f t="shared" si="31"/>
        <v>0</v>
      </c>
      <c r="C337" s="131">
        <f t="shared" si="32"/>
        <v>0</v>
      </c>
      <c r="D337" s="131">
        <f t="shared" si="33"/>
        <v>0</v>
      </c>
      <c r="E337" s="148">
        <f t="shared" si="34"/>
        <v>0</v>
      </c>
      <c r="F337" s="148">
        <f t="shared" si="28"/>
        <v>0</v>
      </c>
      <c r="G337" s="132">
        <f t="shared" si="29"/>
        <v>0</v>
      </c>
    </row>
    <row r="338" spans="1:7" ht="12.75" hidden="1">
      <c r="A338" s="22">
        <f t="shared" si="30"/>
        <v>319</v>
      </c>
      <c r="B338" s="148">
        <f t="shared" si="31"/>
        <v>0</v>
      </c>
      <c r="C338" s="131">
        <f t="shared" si="32"/>
        <v>0</v>
      </c>
      <c r="D338" s="131">
        <f t="shared" si="33"/>
        <v>0</v>
      </c>
      <c r="E338" s="148">
        <f t="shared" si="34"/>
        <v>0</v>
      </c>
      <c r="F338" s="148">
        <f t="shared" si="28"/>
        <v>0</v>
      </c>
      <c r="G338" s="132">
        <f t="shared" si="29"/>
        <v>0</v>
      </c>
    </row>
    <row r="339" spans="1:7" ht="12.75" hidden="1">
      <c r="A339" s="22">
        <f t="shared" si="30"/>
        <v>320</v>
      </c>
      <c r="B339" s="148">
        <f t="shared" si="31"/>
        <v>0</v>
      </c>
      <c r="C339" s="131">
        <f t="shared" si="32"/>
        <v>0</v>
      </c>
      <c r="D339" s="131">
        <f t="shared" si="33"/>
        <v>0</v>
      </c>
      <c r="E339" s="148">
        <f t="shared" si="34"/>
        <v>0</v>
      </c>
      <c r="F339" s="148">
        <f t="shared" si="28"/>
        <v>0</v>
      </c>
      <c r="G339" s="132">
        <f t="shared" si="29"/>
        <v>0</v>
      </c>
    </row>
    <row r="340" spans="1:7" ht="12.75" hidden="1">
      <c r="A340" s="22">
        <f t="shared" si="30"/>
        <v>321</v>
      </c>
      <c r="B340" s="148">
        <f t="shared" si="31"/>
        <v>0</v>
      </c>
      <c r="C340" s="131">
        <f t="shared" si="32"/>
        <v>0</v>
      </c>
      <c r="D340" s="131">
        <f t="shared" si="33"/>
        <v>0</v>
      </c>
      <c r="E340" s="148">
        <f t="shared" si="34"/>
        <v>0</v>
      </c>
      <c r="F340" s="148">
        <f aca="true" t="shared" si="35" ref="F340:F379">IF(A340=$D$10,$D$2,0)</f>
        <v>0</v>
      </c>
      <c r="G340" s="132">
        <f aca="true" t="shared" si="36" ref="G340:G379">B340-F340</f>
        <v>0</v>
      </c>
    </row>
    <row r="341" spans="1:7" ht="12.75" hidden="1">
      <c r="A341" s="22">
        <f aca="true" t="shared" si="37" ref="A341:A379">A340+1</f>
        <v>322</v>
      </c>
      <c r="B341" s="148">
        <f aca="true" t="shared" si="38" ref="B341:B379">B340-F340</f>
        <v>0</v>
      </c>
      <c r="C341" s="131">
        <f aca="true" t="shared" si="39" ref="C341:C379">IF(D341=0,0,D341+$D$13)</f>
        <v>0</v>
      </c>
      <c r="D341" s="131">
        <f aca="true" t="shared" si="40" ref="D341:D379">E341+F341</f>
        <v>0</v>
      </c>
      <c r="E341" s="148">
        <f aca="true" t="shared" si="41" ref="E341:E379">IF(B341&gt;0,E340,0)</f>
        <v>0</v>
      </c>
      <c r="F341" s="148">
        <f t="shared" si="35"/>
        <v>0</v>
      </c>
      <c r="G341" s="132">
        <f t="shared" si="36"/>
        <v>0</v>
      </c>
    </row>
    <row r="342" spans="1:7" ht="12.75" hidden="1">
      <c r="A342" s="22">
        <f t="shared" si="37"/>
        <v>323</v>
      </c>
      <c r="B342" s="148">
        <f t="shared" si="38"/>
        <v>0</v>
      </c>
      <c r="C342" s="131">
        <f t="shared" si="39"/>
        <v>0</v>
      </c>
      <c r="D342" s="131">
        <f t="shared" si="40"/>
        <v>0</v>
      </c>
      <c r="E342" s="148">
        <f t="shared" si="41"/>
        <v>0</v>
      </c>
      <c r="F342" s="148">
        <f t="shared" si="35"/>
        <v>0</v>
      </c>
      <c r="G342" s="132">
        <f t="shared" si="36"/>
        <v>0</v>
      </c>
    </row>
    <row r="343" spans="1:7" ht="12.75" hidden="1">
      <c r="A343" s="22">
        <f t="shared" si="37"/>
        <v>324</v>
      </c>
      <c r="B343" s="148">
        <f t="shared" si="38"/>
        <v>0</v>
      </c>
      <c r="C343" s="131">
        <f t="shared" si="39"/>
        <v>0</v>
      </c>
      <c r="D343" s="131">
        <f t="shared" si="40"/>
        <v>0</v>
      </c>
      <c r="E343" s="148">
        <f t="shared" si="41"/>
        <v>0</v>
      </c>
      <c r="F343" s="148">
        <f t="shared" si="35"/>
        <v>0</v>
      </c>
      <c r="G343" s="132">
        <f t="shared" si="36"/>
        <v>0</v>
      </c>
    </row>
    <row r="344" spans="1:7" ht="12.75" hidden="1">
      <c r="A344" s="22">
        <f t="shared" si="37"/>
        <v>325</v>
      </c>
      <c r="B344" s="148">
        <f t="shared" si="38"/>
        <v>0</v>
      </c>
      <c r="C344" s="131">
        <f t="shared" si="39"/>
        <v>0</v>
      </c>
      <c r="D344" s="131">
        <f t="shared" si="40"/>
        <v>0</v>
      </c>
      <c r="E344" s="148">
        <f t="shared" si="41"/>
        <v>0</v>
      </c>
      <c r="F344" s="148">
        <f t="shared" si="35"/>
        <v>0</v>
      </c>
      <c r="G344" s="132">
        <f t="shared" si="36"/>
        <v>0</v>
      </c>
    </row>
    <row r="345" spans="1:7" ht="12.75" hidden="1">
      <c r="A345" s="22">
        <f t="shared" si="37"/>
        <v>326</v>
      </c>
      <c r="B345" s="148">
        <f t="shared" si="38"/>
        <v>0</v>
      </c>
      <c r="C345" s="131">
        <f t="shared" si="39"/>
        <v>0</v>
      </c>
      <c r="D345" s="131">
        <f t="shared" si="40"/>
        <v>0</v>
      </c>
      <c r="E345" s="148">
        <f t="shared" si="41"/>
        <v>0</v>
      </c>
      <c r="F345" s="148">
        <f t="shared" si="35"/>
        <v>0</v>
      </c>
      <c r="G345" s="132">
        <f t="shared" si="36"/>
        <v>0</v>
      </c>
    </row>
    <row r="346" spans="1:7" ht="12.75" hidden="1">
      <c r="A346" s="22">
        <f t="shared" si="37"/>
        <v>327</v>
      </c>
      <c r="B346" s="148">
        <f t="shared" si="38"/>
        <v>0</v>
      </c>
      <c r="C346" s="131">
        <f t="shared" si="39"/>
        <v>0</v>
      </c>
      <c r="D346" s="131">
        <f t="shared" si="40"/>
        <v>0</v>
      </c>
      <c r="E346" s="148">
        <f t="shared" si="41"/>
        <v>0</v>
      </c>
      <c r="F346" s="148">
        <f t="shared" si="35"/>
        <v>0</v>
      </c>
      <c r="G346" s="132">
        <f t="shared" si="36"/>
        <v>0</v>
      </c>
    </row>
    <row r="347" spans="1:7" ht="12.75" hidden="1">
      <c r="A347" s="22">
        <f t="shared" si="37"/>
        <v>328</v>
      </c>
      <c r="B347" s="148">
        <f t="shared" si="38"/>
        <v>0</v>
      </c>
      <c r="C347" s="131">
        <f t="shared" si="39"/>
        <v>0</v>
      </c>
      <c r="D347" s="131">
        <f t="shared" si="40"/>
        <v>0</v>
      </c>
      <c r="E347" s="148">
        <f t="shared" si="41"/>
        <v>0</v>
      </c>
      <c r="F347" s="148">
        <f t="shared" si="35"/>
        <v>0</v>
      </c>
      <c r="G347" s="132">
        <f t="shared" si="36"/>
        <v>0</v>
      </c>
    </row>
    <row r="348" spans="1:7" ht="12.75" hidden="1">
      <c r="A348" s="22">
        <f t="shared" si="37"/>
        <v>329</v>
      </c>
      <c r="B348" s="148">
        <f t="shared" si="38"/>
        <v>0</v>
      </c>
      <c r="C348" s="131">
        <f t="shared" si="39"/>
        <v>0</v>
      </c>
      <c r="D348" s="131">
        <f t="shared" si="40"/>
        <v>0</v>
      </c>
      <c r="E348" s="148">
        <f t="shared" si="41"/>
        <v>0</v>
      </c>
      <c r="F348" s="148">
        <f t="shared" si="35"/>
        <v>0</v>
      </c>
      <c r="G348" s="132">
        <f t="shared" si="36"/>
        <v>0</v>
      </c>
    </row>
    <row r="349" spans="1:7" ht="12.75" hidden="1">
      <c r="A349" s="22">
        <f t="shared" si="37"/>
        <v>330</v>
      </c>
      <c r="B349" s="148">
        <f t="shared" si="38"/>
        <v>0</v>
      </c>
      <c r="C349" s="131">
        <f t="shared" si="39"/>
        <v>0</v>
      </c>
      <c r="D349" s="131">
        <f t="shared" si="40"/>
        <v>0</v>
      </c>
      <c r="E349" s="148">
        <f t="shared" si="41"/>
        <v>0</v>
      </c>
      <c r="F349" s="148">
        <f t="shared" si="35"/>
        <v>0</v>
      </c>
      <c r="G349" s="132">
        <f t="shared" si="36"/>
        <v>0</v>
      </c>
    </row>
    <row r="350" spans="1:7" ht="12.75" hidden="1">
      <c r="A350" s="22">
        <f t="shared" si="37"/>
        <v>331</v>
      </c>
      <c r="B350" s="148">
        <f t="shared" si="38"/>
        <v>0</v>
      </c>
      <c r="C350" s="131">
        <f t="shared" si="39"/>
        <v>0</v>
      </c>
      <c r="D350" s="131">
        <f t="shared" si="40"/>
        <v>0</v>
      </c>
      <c r="E350" s="148">
        <f t="shared" si="41"/>
        <v>0</v>
      </c>
      <c r="F350" s="148">
        <f t="shared" si="35"/>
        <v>0</v>
      </c>
      <c r="G350" s="132">
        <f t="shared" si="36"/>
        <v>0</v>
      </c>
    </row>
    <row r="351" spans="1:7" ht="12.75" hidden="1">
      <c r="A351" s="22">
        <f t="shared" si="37"/>
        <v>332</v>
      </c>
      <c r="B351" s="148">
        <f t="shared" si="38"/>
        <v>0</v>
      </c>
      <c r="C351" s="131">
        <f t="shared" si="39"/>
        <v>0</v>
      </c>
      <c r="D351" s="131">
        <f t="shared" si="40"/>
        <v>0</v>
      </c>
      <c r="E351" s="148">
        <f t="shared" si="41"/>
        <v>0</v>
      </c>
      <c r="F351" s="148">
        <f t="shared" si="35"/>
        <v>0</v>
      </c>
      <c r="G351" s="132">
        <f t="shared" si="36"/>
        <v>0</v>
      </c>
    </row>
    <row r="352" spans="1:7" ht="12.75" hidden="1">
      <c r="A352" s="22">
        <f t="shared" si="37"/>
        <v>333</v>
      </c>
      <c r="B352" s="148">
        <f t="shared" si="38"/>
        <v>0</v>
      </c>
      <c r="C352" s="131">
        <f t="shared" si="39"/>
        <v>0</v>
      </c>
      <c r="D352" s="131">
        <f t="shared" si="40"/>
        <v>0</v>
      </c>
      <c r="E352" s="148">
        <f t="shared" si="41"/>
        <v>0</v>
      </c>
      <c r="F352" s="148">
        <f t="shared" si="35"/>
        <v>0</v>
      </c>
      <c r="G352" s="132">
        <f t="shared" si="36"/>
        <v>0</v>
      </c>
    </row>
    <row r="353" spans="1:7" ht="12.75" hidden="1">
      <c r="A353" s="22">
        <f t="shared" si="37"/>
        <v>334</v>
      </c>
      <c r="B353" s="148">
        <f t="shared" si="38"/>
        <v>0</v>
      </c>
      <c r="C353" s="131">
        <f t="shared" si="39"/>
        <v>0</v>
      </c>
      <c r="D353" s="131">
        <f t="shared" si="40"/>
        <v>0</v>
      </c>
      <c r="E353" s="148">
        <f t="shared" si="41"/>
        <v>0</v>
      </c>
      <c r="F353" s="148">
        <f t="shared" si="35"/>
        <v>0</v>
      </c>
      <c r="G353" s="132">
        <f t="shared" si="36"/>
        <v>0</v>
      </c>
    </row>
    <row r="354" spans="1:7" ht="12.75" hidden="1">
      <c r="A354" s="22">
        <f t="shared" si="37"/>
        <v>335</v>
      </c>
      <c r="B354" s="148">
        <f t="shared" si="38"/>
        <v>0</v>
      </c>
      <c r="C354" s="131">
        <f t="shared" si="39"/>
        <v>0</v>
      </c>
      <c r="D354" s="131">
        <f t="shared" si="40"/>
        <v>0</v>
      </c>
      <c r="E354" s="148">
        <f t="shared" si="41"/>
        <v>0</v>
      </c>
      <c r="F354" s="148">
        <f t="shared" si="35"/>
        <v>0</v>
      </c>
      <c r="G354" s="132">
        <f t="shared" si="36"/>
        <v>0</v>
      </c>
    </row>
    <row r="355" spans="1:7" ht="12.75" hidden="1">
      <c r="A355" s="22">
        <f t="shared" si="37"/>
        <v>336</v>
      </c>
      <c r="B355" s="148">
        <f t="shared" si="38"/>
        <v>0</v>
      </c>
      <c r="C355" s="131">
        <f t="shared" si="39"/>
        <v>0</v>
      </c>
      <c r="D355" s="131">
        <f t="shared" si="40"/>
        <v>0</v>
      </c>
      <c r="E355" s="148">
        <f t="shared" si="41"/>
        <v>0</v>
      </c>
      <c r="F355" s="148">
        <f t="shared" si="35"/>
        <v>0</v>
      </c>
      <c r="G355" s="132">
        <f t="shared" si="36"/>
        <v>0</v>
      </c>
    </row>
    <row r="356" spans="1:7" ht="12.75" hidden="1">
      <c r="A356" s="22">
        <f t="shared" si="37"/>
        <v>337</v>
      </c>
      <c r="B356" s="148">
        <f t="shared" si="38"/>
        <v>0</v>
      </c>
      <c r="C356" s="131">
        <f t="shared" si="39"/>
        <v>0</v>
      </c>
      <c r="D356" s="131">
        <f t="shared" si="40"/>
        <v>0</v>
      </c>
      <c r="E356" s="148">
        <f t="shared" si="41"/>
        <v>0</v>
      </c>
      <c r="F356" s="148">
        <f t="shared" si="35"/>
        <v>0</v>
      </c>
      <c r="G356" s="132">
        <f t="shared" si="36"/>
        <v>0</v>
      </c>
    </row>
    <row r="357" spans="1:7" ht="12.75" hidden="1">
      <c r="A357" s="22">
        <f t="shared" si="37"/>
        <v>338</v>
      </c>
      <c r="B357" s="148">
        <f t="shared" si="38"/>
        <v>0</v>
      </c>
      <c r="C357" s="131">
        <f t="shared" si="39"/>
        <v>0</v>
      </c>
      <c r="D357" s="131">
        <f t="shared" si="40"/>
        <v>0</v>
      </c>
      <c r="E357" s="148">
        <f t="shared" si="41"/>
        <v>0</v>
      </c>
      <c r="F357" s="148">
        <f t="shared" si="35"/>
        <v>0</v>
      </c>
      <c r="G357" s="132">
        <f t="shared" si="36"/>
        <v>0</v>
      </c>
    </row>
    <row r="358" spans="1:7" ht="12.75" hidden="1">
      <c r="A358" s="22">
        <f t="shared" si="37"/>
        <v>339</v>
      </c>
      <c r="B358" s="148">
        <f t="shared" si="38"/>
        <v>0</v>
      </c>
      <c r="C358" s="131">
        <f t="shared" si="39"/>
        <v>0</v>
      </c>
      <c r="D358" s="131">
        <f t="shared" si="40"/>
        <v>0</v>
      </c>
      <c r="E358" s="148">
        <f t="shared" si="41"/>
        <v>0</v>
      </c>
      <c r="F358" s="148">
        <f t="shared" si="35"/>
        <v>0</v>
      </c>
      <c r="G358" s="132">
        <f t="shared" si="36"/>
        <v>0</v>
      </c>
    </row>
    <row r="359" spans="1:7" ht="12.75" hidden="1">
      <c r="A359" s="22">
        <f t="shared" si="37"/>
        <v>340</v>
      </c>
      <c r="B359" s="148">
        <f t="shared" si="38"/>
        <v>0</v>
      </c>
      <c r="C359" s="131">
        <f t="shared" si="39"/>
        <v>0</v>
      </c>
      <c r="D359" s="131">
        <f t="shared" si="40"/>
        <v>0</v>
      </c>
      <c r="E359" s="148">
        <f t="shared" si="41"/>
        <v>0</v>
      </c>
      <c r="F359" s="148">
        <f t="shared" si="35"/>
        <v>0</v>
      </c>
      <c r="G359" s="132">
        <f t="shared" si="36"/>
        <v>0</v>
      </c>
    </row>
    <row r="360" spans="1:7" ht="12.75" hidden="1">
      <c r="A360" s="22">
        <f t="shared" si="37"/>
        <v>341</v>
      </c>
      <c r="B360" s="148">
        <f t="shared" si="38"/>
        <v>0</v>
      </c>
      <c r="C360" s="131">
        <f t="shared" si="39"/>
        <v>0</v>
      </c>
      <c r="D360" s="131">
        <f t="shared" si="40"/>
        <v>0</v>
      </c>
      <c r="E360" s="148">
        <f t="shared" si="41"/>
        <v>0</v>
      </c>
      <c r="F360" s="148">
        <f t="shared" si="35"/>
        <v>0</v>
      </c>
      <c r="G360" s="132">
        <f t="shared" si="36"/>
        <v>0</v>
      </c>
    </row>
    <row r="361" spans="1:7" ht="12.75" hidden="1">
      <c r="A361" s="22">
        <f t="shared" si="37"/>
        <v>342</v>
      </c>
      <c r="B361" s="148">
        <f t="shared" si="38"/>
        <v>0</v>
      </c>
      <c r="C361" s="131">
        <f t="shared" si="39"/>
        <v>0</v>
      </c>
      <c r="D361" s="131">
        <f t="shared" si="40"/>
        <v>0</v>
      </c>
      <c r="E361" s="148">
        <f t="shared" si="41"/>
        <v>0</v>
      </c>
      <c r="F361" s="148">
        <f t="shared" si="35"/>
        <v>0</v>
      </c>
      <c r="G361" s="132">
        <f t="shared" si="36"/>
        <v>0</v>
      </c>
    </row>
    <row r="362" spans="1:7" ht="12.75" hidden="1">
      <c r="A362" s="22">
        <f t="shared" si="37"/>
        <v>343</v>
      </c>
      <c r="B362" s="148">
        <f t="shared" si="38"/>
        <v>0</v>
      </c>
      <c r="C362" s="131">
        <f t="shared" si="39"/>
        <v>0</v>
      </c>
      <c r="D362" s="131">
        <f t="shared" si="40"/>
        <v>0</v>
      </c>
      <c r="E362" s="148">
        <f t="shared" si="41"/>
        <v>0</v>
      </c>
      <c r="F362" s="148">
        <f t="shared" si="35"/>
        <v>0</v>
      </c>
      <c r="G362" s="132">
        <f t="shared" si="36"/>
        <v>0</v>
      </c>
    </row>
    <row r="363" spans="1:7" ht="12.75" hidden="1">
      <c r="A363" s="22">
        <f t="shared" si="37"/>
        <v>344</v>
      </c>
      <c r="B363" s="148">
        <f t="shared" si="38"/>
        <v>0</v>
      </c>
      <c r="C363" s="131">
        <f t="shared" si="39"/>
        <v>0</v>
      </c>
      <c r="D363" s="131">
        <f t="shared" si="40"/>
        <v>0</v>
      </c>
      <c r="E363" s="148">
        <f t="shared" si="41"/>
        <v>0</v>
      </c>
      <c r="F363" s="148">
        <f t="shared" si="35"/>
        <v>0</v>
      </c>
      <c r="G363" s="132">
        <f t="shared" si="36"/>
        <v>0</v>
      </c>
    </row>
    <row r="364" spans="1:7" ht="12.75" hidden="1">
      <c r="A364" s="22">
        <f t="shared" si="37"/>
        <v>345</v>
      </c>
      <c r="B364" s="148">
        <f t="shared" si="38"/>
        <v>0</v>
      </c>
      <c r="C364" s="131">
        <f t="shared" si="39"/>
        <v>0</v>
      </c>
      <c r="D364" s="131">
        <f t="shared" si="40"/>
        <v>0</v>
      </c>
      <c r="E364" s="148">
        <f t="shared" si="41"/>
        <v>0</v>
      </c>
      <c r="F364" s="148">
        <f t="shared" si="35"/>
        <v>0</v>
      </c>
      <c r="G364" s="132">
        <f t="shared" si="36"/>
        <v>0</v>
      </c>
    </row>
    <row r="365" spans="1:7" ht="12.75" hidden="1">
      <c r="A365" s="22">
        <f t="shared" si="37"/>
        <v>346</v>
      </c>
      <c r="B365" s="148">
        <f t="shared" si="38"/>
        <v>0</v>
      </c>
      <c r="C365" s="131">
        <f t="shared" si="39"/>
        <v>0</v>
      </c>
      <c r="D365" s="131">
        <f t="shared" si="40"/>
        <v>0</v>
      </c>
      <c r="E365" s="148">
        <f t="shared" si="41"/>
        <v>0</v>
      </c>
      <c r="F365" s="148">
        <f t="shared" si="35"/>
        <v>0</v>
      </c>
      <c r="G365" s="132">
        <f t="shared" si="36"/>
        <v>0</v>
      </c>
    </row>
    <row r="366" spans="1:7" ht="12.75" hidden="1">
      <c r="A366" s="22">
        <f t="shared" si="37"/>
        <v>347</v>
      </c>
      <c r="B366" s="148">
        <f t="shared" si="38"/>
        <v>0</v>
      </c>
      <c r="C366" s="131">
        <f t="shared" si="39"/>
        <v>0</v>
      </c>
      <c r="D366" s="131">
        <f t="shared" si="40"/>
        <v>0</v>
      </c>
      <c r="E366" s="148">
        <f t="shared" si="41"/>
        <v>0</v>
      </c>
      <c r="F366" s="148">
        <f t="shared" si="35"/>
        <v>0</v>
      </c>
      <c r="G366" s="132">
        <f t="shared" si="36"/>
        <v>0</v>
      </c>
    </row>
    <row r="367" spans="1:7" ht="12.75" hidden="1">
      <c r="A367" s="22">
        <f t="shared" si="37"/>
        <v>348</v>
      </c>
      <c r="B367" s="148">
        <f t="shared" si="38"/>
        <v>0</v>
      </c>
      <c r="C367" s="131">
        <f t="shared" si="39"/>
        <v>0</v>
      </c>
      <c r="D367" s="131">
        <f t="shared" si="40"/>
        <v>0</v>
      </c>
      <c r="E367" s="148">
        <f t="shared" si="41"/>
        <v>0</v>
      </c>
      <c r="F367" s="148">
        <f t="shared" si="35"/>
        <v>0</v>
      </c>
      <c r="G367" s="132">
        <f t="shared" si="36"/>
        <v>0</v>
      </c>
    </row>
    <row r="368" spans="1:7" ht="12.75" hidden="1">
      <c r="A368" s="22">
        <f t="shared" si="37"/>
        <v>349</v>
      </c>
      <c r="B368" s="148">
        <f t="shared" si="38"/>
        <v>0</v>
      </c>
      <c r="C368" s="131">
        <f t="shared" si="39"/>
        <v>0</v>
      </c>
      <c r="D368" s="131">
        <f t="shared" si="40"/>
        <v>0</v>
      </c>
      <c r="E368" s="148">
        <f t="shared" si="41"/>
        <v>0</v>
      </c>
      <c r="F368" s="148">
        <f t="shared" si="35"/>
        <v>0</v>
      </c>
      <c r="G368" s="132">
        <f t="shared" si="36"/>
        <v>0</v>
      </c>
    </row>
    <row r="369" spans="1:7" ht="12.75" hidden="1">
      <c r="A369" s="22">
        <f t="shared" si="37"/>
        <v>350</v>
      </c>
      <c r="B369" s="148">
        <f t="shared" si="38"/>
        <v>0</v>
      </c>
      <c r="C369" s="131">
        <f t="shared" si="39"/>
        <v>0</v>
      </c>
      <c r="D369" s="131">
        <f t="shared" si="40"/>
        <v>0</v>
      </c>
      <c r="E369" s="148">
        <f t="shared" si="41"/>
        <v>0</v>
      </c>
      <c r="F369" s="148">
        <f t="shared" si="35"/>
        <v>0</v>
      </c>
      <c r="G369" s="132">
        <f t="shared" si="36"/>
        <v>0</v>
      </c>
    </row>
    <row r="370" spans="1:7" ht="12.75" hidden="1">
      <c r="A370" s="22">
        <f t="shared" si="37"/>
        <v>351</v>
      </c>
      <c r="B370" s="148">
        <f t="shared" si="38"/>
        <v>0</v>
      </c>
      <c r="C370" s="131">
        <f t="shared" si="39"/>
        <v>0</v>
      </c>
      <c r="D370" s="131">
        <f t="shared" si="40"/>
        <v>0</v>
      </c>
      <c r="E370" s="148">
        <f t="shared" si="41"/>
        <v>0</v>
      </c>
      <c r="F370" s="148">
        <f t="shared" si="35"/>
        <v>0</v>
      </c>
      <c r="G370" s="132">
        <f t="shared" si="36"/>
        <v>0</v>
      </c>
    </row>
    <row r="371" spans="1:7" ht="12.75" hidden="1">
      <c r="A371" s="22">
        <f t="shared" si="37"/>
        <v>352</v>
      </c>
      <c r="B371" s="148">
        <f t="shared" si="38"/>
        <v>0</v>
      </c>
      <c r="C371" s="131">
        <f t="shared" si="39"/>
        <v>0</v>
      </c>
      <c r="D371" s="131">
        <f t="shared" si="40"/>
        <v>0</v>
      </c>
      <c r="E371" s="148">
        <f t="shared" si="41"/>
        <v>0</v>
      </c>
      <c r="F371" s="148">
        <f t="shared" si="35"/>
        <v>0</v>
      </c>
      <c r="G371" s="132">
        <f t="shared" si="36"/>
        <v>0</v>
      </c>
    </row>
    <row r="372" spans="1:7" ht="12.75" hidden="1">
      <c r="A372" s="22">
        <f t="shared" si="37"/>
        <v>353</v>
      </c>
      <c r="B372" s="148">
        <f t="shared" si="38"/>
        <v>0</v>
      </c>
      <c r="C372" s="131">
        <f t="shared" si="39"/>
        <v>0</v>
      </c>
      <c r="D372" s="131">
        <f t="shared" si="40"/>
        <v>0</v>
      </c>
      <c r="E372" s="148">
        <f t="shared" si="41"/>
        <v>0</v>
      </c>
      <c r="F372" s="148">
        <f t="shared" si="35"/>
        <v>0</v>
      </c>
      <c r="G372" s="132">
        <f t="shared" si="36"/>
        <v>0</v>
      </c>
    </row>
    <row r="373" spans="1:7" ht="12.75" hidden="1">
      <c r="A373" s="22">
        <f t="shared" si="37"/>
        <v>354</v>
      </c>
      <c r="B373" s="148">
        <f t="shared" si="38"/>
        <v>0</v>
      </c>
      <c r="C373" s="131">
        <f t="shared" si="39"/>
        <v>0</v>
      </c>
      <c r="D373" s="131">
        <f t="shared" si="40"/>
        <v>0</v>
      </c>
      <c r="E373" s="148">
        <f t="shared" si="41"/>
        <v>0</v>
      </c>
      <c r="F373" s="148">
        <f t="shared" si="35"/>
        <v>0</v>
      </c>
      <c r="G373" s="132">
        <f t="shared" si="36"/>
        <v>0</v>
      </c>
    </row>
    <row r="374" spans="1:7" ht="12.75" hidden="1">
      <c r="A374" s="22">
        <f t="shared" si="37"/>
        <v>355</v>
      </c>
      <c r="B374" s="148">
        <f t="shared" si="38"/>
        <v>0</v>
      </c>
      <c r="C374" s="131">
        <f t="shared" si="39"/>
        <v>0</v>
      </c>
      <c r="D374" s="131">
        <f t="shared" si="40"/>
        <v>0</v>
      </c>
      <c r="E374" s="148">
        <f t="shared" si="41"/>
        <v>0</v>
      </c>
      <c r="F374" s="148">
        <f t="shared" si="35"/>
        <v>0</v>
      </c>
      <c r="G374" s="132">
        <f t="shared" si="36"/>
        <v>0</v>
      </c>
    </row>
    <row r="375" spans="1:7" ht="12.75" hidden="1">
      <c r="A375" s="22">
        <f t="shared" si="37"/>
        <v>356</v>
      </c>
      <c r="B375" s="148">
        <f t="shared" si="38"/>
        <v>0</v>
      </c>
      <c r="C375" s="131">
        <f t="shared" si="39"/>
        <v>0</v>
      </c>
      <c r="D375" s="131">
        <f t="shared" si="40"/>
        <v>0</v>
      </c>
      <c r="E375" s="148">
        <f t="shared" si="41"/>
        <v>0</v>
      </c>
      <c r="F375" s="148">
        <f t="shared" si="35"/>
        <v>0</v>
      </c>
      <c r="G375" s="132">
        <f t="shared" si="36"/>
        <v>0</v>
      </c>
    </row>
    <row r="376" spans="1:7" ht="12.75" hidden="1">
      <c r="A376" s="22">
        <f t="shared" si="37"/>
        <v>357</v>
      </c>
      <c r="B376" s="148">
        <f t="shared" si="38"/>
        <v>0</v>
      </c>
      <c r="C376" s="131">
        <f t="shared" si="39"/>
        <v>0</v>
      </c>
      <c r="D376" s="131">
        <f t="shared" si="40"/>
        <v>0</v>
      </c>
      <c r="E376" s="148">
        <f t="shared" si="41"/>
        <v>0</v>
      </c>
      <c r="F376" s="148">
        <f t="shared" si="35"/>
        <v>0</v>
      </c>
      <c r="G376" s="132">
        <f t="shared" si="36"/>
        <v>0</v>
      </c>
    </row>
    <row r="377" spans="1:7" ht="12.75" hidden="1">
      <c r="A377" s="22">
        <f t="shared" si="37"/>
        <v>358</v>
      </c>
      <c r="B377" s="148">
        <f t="shared" si="38"/>
        <v>0</v>
      </c>
      <c r="C377" s="131">
        <f t="shared" si="39"/>
        <v>0</v>
      </c>
      <c r="D377" s="131">
        <f t="shared" si="40"/>
        <v>0</v>
      </c>
      <c r="E377" s="148">
        <f t="shared" si="41"/>
        <v>0</v>
      </c>
      <c r="F377" s="148">
        <f t="shared" si="35"/>
        <v>0</v>
      </c>
      <c r="G377" s="132">
        <f t="shared" si="36"/>
        <v>0</v>
      </c>
    </row>
    <row r="378" spans="1:7" ht="12.75" hidden="1">
      <c r="A378" s="22">
        <f t="shared" si="37"/>
        <v>359</v>
      </c>
      <c r="B378" s="148">
        <f t="shared" si="38"/>
        <v>0</v>
      </c>
      <c r="C378" s="131">
        <f t="shared" si="39"/>
        <v>0</v>
      </c>
      <c r="D378" s="131">
        <f t="shared" si="40"/>
        <v>0</v>
      </c>
      <c r="E378" s="148">
        <f t="shared" si="41"/>
        <v>0</v>
      </c>
      <c r="F378" s="148">
        <f t="shared" si="35"/>
        <v>0</v>
      </c>
      <c r="G378" s="132">
        <f t="shared" si="36"/>
        <v>0</v>
      </c>
    </row>
    <row r="379" spans="1:7" ht="13.5" hidden="1" thickBot="1">
      <c r="A379" s="22">
        <f t="shared" si="37"/>
        <v>360</v>
      </c>
      <c r="B379" s="148">
        <f t="shared" si="38"/>
        <v>0</v>
      </c>
      <c r="C379" s="131">
        <f t="shared" si="39"/>
        <v>0</v>
      </c>
      <c r="D379" s="131">
        <f t="shared" si="40"/>
        <v>0</v>
      </c>
      <c r="E379" s="148">
        <f t="shared" si="41"/>
        <v>0</v>
      </c>
      <c r="F379" s="148">
        <f t="shared" si="35"/>
        <v>0</v>
      </c>
      <c r="G379" s="132">
        <f t="shared" si="36"/>
        <v>0</v>
      </c>
    </row>
    <row r="380" spans="1:7" ht="13.5" thickBot="1">
      <c r="A380" s="349" t="s">
        <v>355</v>
      </c>
      <c r="B380" s="417"/>
      <c r="C380" s="350">
        <f>SUM(C20:C379)</f>
        <v>1285200</v>
      </c>
      <c r="D380" s="350">
        <f>SUM(D20:D379)</f>
        <v>1285200</v>
      </c>
      <c r="E380" s="350">
        <f>SUM(E20:E379)</f>
        <v>265200</v>
      </c>
      <c r="F380" s="350">
        <f>SUM(F20:F379)</f>
        <v>1020000</v>
      </c>
      <c r="G380" s="418"/>
    </row>
    <row r="381" ht="12.75">
      <c r="A381" s="87"/>
    </row>
  </sheetData>
  <mergeCells count="17">
    <mergeCell ref="A7:C7"/>
    <mergeCell ref="A8:C8"/>
    <mergeCell ref="A9:C9"/>
    <mergeCell ref="A16:D16"/>
    <mergeCell ref="A13:C13"/>
    <mergeCell ref="A15:C15"/>
    <mergeCell ref="A14:D14"/>
    <mergeCell ref="E12:G12"/>
    <mergeCell ref="E15:G15"/>
    <mergeCell ref="A1:G1"/>
    <mergeCell ref="A2:C2"/>
    <mergeCell ref="A4:C4"/>
    <mergeCell ref="A5:C5"/>
    <mergeCell ref="A6:C6"/>
    <mergeCell ref="A11:C11"/>
    <mergeCell ref="A12:C12"/>
    <mergeCell ref="A10:C10"/>
  </mergeCells>
  <printOptions/>
  <pageMargins left="0.5905511811023623" right="0.3937007874015748" top="0.3937007874015748" bottom="0.3937007874015748" header="0.5118110236220472" footer="0.5118110236220472"/>
  <pageSetup horizontalDpi="360" verticalDpi="360" orientation="portrait" paperSize="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N23"/>
  <sheetViews>
    <sheetView workbookViewId="0" topLeftCell="A1">
      <selection activeCell="A2" sqref="A2:N2"/>
    </sheetView>
  </sheetViews>
  <sheetFormatPr defaultColWidth="9.140625" defaultRowHeight="12.75"/>
  <cols>
    <col min="1" max="1" width="21.7109375" style="0" customWidth="1"/>
    <col min="2" max="2" width="7.7109375" style="0" customWidth="1"/>
    <col min="3" max="3" width="3.421875" style="0" customWidth="1"/>
    <col min="4" max="4" width="11.57421875" style="0" bestFit="1" customWidth="1"/>
    <col min="5" max="5" width="6.140625" style="0" customWidth="1"/>
    <col min="6" max="6" width="3.00390625" style="0" customWidth="1"/>
    <col min="7" max="7" width="18.28125" style="0" customWidth="1"/>
    <col min="8" max="9" width="2.7109375" style="0" customWidth="1"/>
    <col min="10" max="10" width="26.7109375" style="0" bestFit="1" customWidth="1"/>
    <col min="11" max="11" width="3.8515625" style="0" bestFit="1" customWidth="1"/>
    <col min="12" max="12" width="9.28125" style="0" bestFit="1" customWidth="1"/>
    <col min="13" max="13" width="6.28125" style="0" customWidth="1"/>
    <col min="14" max="14" width="2.7109375" style="0" customWidth="1"/>
  </cols>
  <sheetData>
    <row r="1" spans="1:14" ht="78.75" customHeight="1">
      <c r="A1" s="429" t="s">
        <v>365</v>
      </c>
      <c r="B1" s="430"/>
      <c r="C1" s="430"/>
      <c r="D1" s="430"/>
      <c r="E1" s="430"/>
      <c r="F1" s="430"/>
      <c r="G1" s="430"/>
      <c r="H1" s="430"/>
      <c r="I1" s="430"/>
      <c r="J1" s="430"/>
      <c r="K1" s="430"/>
      <c r="L1" s="430"/>
      <c r="M1" s="430"/>
      <c r="N1" s="430"/>
    </row>
    <row r="2" spans="1:14" ht="21" customHeight="1">
      <c r="A2" s="429" t="s">
        <v>356</v>
      </c>
      <c r="B2" s="429"/>
      <c r="C2" s="429"/>
      <c r="D2" s="429"/>
      <c r="E2" s="429"/>
      <c r="F2" s="429"/>
      <c r="G2" s="429"/>
      <c r="H2" s="429"/>
      <c r="I2" s="429"/>
      <c r="J2" s="429"/>
      <c r="K2" s="429"/>
      <c r="L2" s="429"/>
      <c r="M2" s="429"/>
      <c r="N2" s="429"/>
    </row>
    <row r="3" spans="1:14" ht="27.75" customHeight="1">
      <c r="A3" s="419" t="s">
        <v>357</v>
      </c>
      <c r="B3" s="365" t="s">
        <v>89</v>
      </c>
      <c r="C3" s="365"/>
      <c r="D3" s="505" t="s">
        <v>358</v>
      </c>
      <c r="E3" s="505"/>
      <c r="F3" s="505"/>
      <c r="G3" s="505"/>
      <c r="H3" s="505"/>
      <c r="I3" s="505"/>
      <c r="J3" s="505"/>
      <c r="K3" s="353"/>
      <c r="L3" s="353"/>
      <c r="M3" s="353"/>
      <c r="N3" s="353"/>
    </row>
    <row r="4" spans="1:14" ht="33" customHeight="1">
      <c r="A4" s="419" t="s">
        <v>357</v>
      </c>
      <c r="B4" s="365" t="s">
        <v>89</v>
      </c>
      <c r="C4" s="365"/>
      <c r="D4" s="511">
        <f>'Effektiv rente stående lån'!D2</f>
        <v>1020000</v>
      </c>
      <c r="E4" s="512"/>
      <c r="F4" s="512"/>
      <c r="G4" s="420" t="str">
        <f>CONCATENATE("* ",'Effektiv rente stående lån'!D11*100,"%")</f>
        <v>* 6,5%</v>
      </c>
      <c r="H4" s="353"/>
      <c r="I4" s="353"/>
      <c r="J4" s="353"/>
      <c r="K4" s="353"/>
      <c r="L4" s="353"/>
      <c r="M4" s="353"/>
      <c r="N4" s="353"/>
    </row>
    <row r="5" spans="1:14" ht="33.75" customHeight="1">
      <c r="A5" s="419" t="s">
        <v>357</v>
      </c>
      <c r="B5" s="365" t="s">
        <v>89</v>
      </c>
      <c r="C5" s="365"/>
      <c r="D5" s="513">
        <f>'Effektiv rente stående lån'!D12*-1</f>
        <v>66300</v>
      </c>
      <c r="E5" s="513"/>
      <c r="F5" s="513"/>
      <c r="G5" s="352"/>
      <c r="H5" s="353"/>
      <c r="I5" s="353"/>
      <c r="J5" s="353"/>
      <c r="K5" s="353"/>
      <c r="L5" s="353"/>
      <c r="M5" s="353"/>
      <c r="N5" s="353"/>
    </row>
    <row r="6" spans="1:14" ht="33.75" customHeight="1">
      <c r="A6" s="504" t="s">
        <v>359</v>
      </c>
      <c r="B6" s="504"/>
      <c r="C6" s="504"/>
      <c r="D6" s="504"/>
      <c r="E6" s="504"/>
      <c r="F6" s="504"/>
      <c r="G6" s="504"/>
      <c r="H6" s="504"/>
      <c r="I6" s="504"/>
      <c r="J6" s="504"/>
      <c r="K6" s="504"/>
      <c r="L6" s="504"/>
      <c r="M6" s="504"/>
      <c r="N6" s="504"/>
    </row>
    <row r="7" spans="1:14" ht="27.75" customHeight="1" thickBot="1">
      <c r="A7" s="435" t="s">
        <v>335</v>
      </c>
      <c r="B7" s="462" t="s">
        <v>89</v>
      </c>
      <c r="C7" s="354"/>
      <c r="D7" s="116" t="s">
        <v>329</v>
      </c>
      <c r="E7" s="355" t="s">
        <v>330</v>
      </c>
      <c r="F7" s="464" t="s">
        <v>331</v>
      </c>
      <c r="G7" s="427" t="str">
        <f>IF('Effektiv rente stående lån'!D13=0,"b","b + Gebyr")</f>
        <v>b</v>
      </c>
      <c r="H7" s="510" t="s">
        <v>360</v>
      </c>
      <c r="I7" s="514" t="s">
        <v>361</v>
      </c>
      <c r="J7" s="516" t="s">
        <v>362</v>
      </c>
      <c r="K7" s="506" t="s">
        <v>331</v>
      </c>
      <c r="L7" s="508" t="s">
        <v>349</v>
      </c>
      <c r="M7" s="515" t="s">
        <v>330</v>
      </c>
      <c r="N7" s="514" t="s">
        <v>363</v>
      </c>
    </row>
    <row r="8" spans="1:14" ht="21" customHeight="1">
      <c r="A8" s="435"/>
      <c r="B8" s="462"/>
      <c r="C8" s="354"/>
      <c r="D8" s="463" t="s">
        <v>333</v>
      </c>
      <c r="E8" s="463"/>
      <c r="F8" s="464"/>
      <c r="G8" s="427"/>
      <c r="H8" s="510"/>
      <c r="I8" s="514"/>
      <c r="J8" s="510"/>
      <c r="K8" s="506"/>
      <c r="L8" s="508"/>
      <c r="M8" s="515"/>
      <c r="N8" s="514"/>
    </row>
    <row r="9" spans="1:13" ht="21" customHeight="1">
      <c r="A9" s="507" t="s">
        <v>336</v>
      </c>
      <c r="B9" s="507"/>
      <c r="C9" s="507"/>
      <c r="D9" s="507"/>
      <c r="E9" s="507"/>
      <c r="F9" s="507"/>
      <c r="G9" s="507"/>
      <c r="H9" s="507"/>
      <c r="I9" s="507"/>
      <c r="J9" s="507"/>
      <c r="K9" s="507"/>
      <c r="L9" s="507"/>
      <c r="M9" s="507"/>
    </row>
    <row r="10" spans="1:14" ht="27.75" thickBot="1">
      <c r="A10" s="426">
        <f>'Effektiv rente stående lån'!D6</f>
        <v>974300</v>
      </c>
      <c r="B10" s="462" t="s">
        <v>89</v>
      </c>
      <c r="C10" s="354"/>
      <c r="D10" s="116" t="str">
        <f>D7</f>
        <v>1-(1+ r)</v>
      </c>
      <c r="E10" s="363">
        <f>'Effektiv rente stående lån'!D10*-1</f>
        <v>-4</v>
      </c>
      <c r="F10" s="397" t="str">
        <f>F7</f>
        <v>*</v>
      </c>
      <c r="G10" s="469">
        <f>('Effektiv rente stående lån'!D12-'Effektiv rente stående lån'!D13)*-1</f>
        <v>66300</v>
      </c>
      <c r="H10" s="510" t="s">
        <v>360</v>
      </c>
      <c r="I10" s="514" t="str">
        <f>I7</f>
        <v>(</v>
      </c>
      <c r="J10" s="516">
        <f>'Effektiv rente stående lån'!D2</f>
        <v>1020000</v>
      </c>
      <c r="K10" s="506" t="s">
        <v>331</v>
      </c>
      <c r="L10" s="508" t="str">
        <f>L7</f>
        <v>(1+r)</v>
      </c>
      <c r="M10" s="509">
        <f>E10</f>
        <v>-4</v>
      </c>
      <c r="N10" s="514" t="str">
        <f>N7</f>
        <v>)</v>
      </c>
    </row>
    <row r="11" spans="1:14" ht="27">
      <c r="A11" s="426"/>
      <c r="B11" s="462"/>
      <c r="C11" s="354"/>
      <c r="D11" s="463" t="str">
        <f>D8</f>
        <v>r</v>
      </c>
      <c r="E11" s="463"/>
      <c r="F11" s="398"/>
      <c r="G11" s="469"/>
      <c r="H11" s="510"/>
      <c r="I11" s="514"/>
      <c r="J11" s="510"/>
      <c r="K11" s="506"/>
      <c r="L11" s="508"/>
      <c r="M11" s="509"/>
      <c r="N11" s="514"/>
    </row>
    <row r="12" spans="1:13" ht="18">
      <c r="A12" s="442" t="s">
        <v>338</v>
      </c>
      <c r="B12" s="442"/>
      <c r="C12" s="442"/>
      <c r="D12" s="442"/>
      <c r="E12" s="442"/>
      <c r="F12" s="442"/>
      <c r="G12" s="442"/>
      <c r="H12" s="442"/>
      <c r="I12" s="442"/>
      <c r="J12" s="442"/>
      <c r="K12" s="442"/>
      <c r="L12" s="442"/>
      <c r="M12" s="442"/>
    </row>
    <row r="13" spans="1:4" ht="27">
      <c r="A13" s="364" t="s">
        <v>333</v>
      </c>
      <c r="B13" s="365" t="s">
        <v>89</v>
      </c>
      <c r="C13" s="365"/>
      <c r="D13" s="421">
        <f>RATE('Effektiv rente stående lån'!D10,'Effektiv rente stående lån'!D12-'Effektiv rente stående lån'!D13,'Effektiv rente stående lån'!D6,'Effektiv rente stående lån'!D3)</f>
        <v>0.0784815436570401</v>
      </c>
    </row>
    <row r="14" spans="1:13" ht="18">
      <c r="A14" s="442" t="s">
        <v>339</v>
      </c>
      <c r="B14" s="442"/>
      <c r="C14" s="442"/>
      <c r="D14" s="442"/>
      <c r="E14" s="442"/>
      <c r="F14" s="442"/>
      <c r="G14" s="442"/>
      <c r="H14" s="442"/>
      <c r="I14" s="442"/>
      <c r="J14" s="442"/>
      <c r="K14" s="442"/>
      <c r="L14" s="442"/>
      <c r="M14" s="442"/>
    </row>
    <row r="15" spans="1:5" ht="28.5" thickBot="1">
      <c r="A15" s="367" t="str">
        <f>A13</f>
        <v>r</v>
      </c>
      <c r="B15" s="368" t="str">
        <f>B13</f>
        <v>=</v>
      </c>
      <c r="C15" s="368"/>
      <c r="D15" s="422">
        <f>D13</f>
        <v>0.0784815436570401</v>
      </c>
      <c r="E15" s="10"/>
    </row>
    <row r="16" ht="13.5" thickTop="1"/>
    <row r="17" spans="1:10" ht="18">
      <c r="A17" s="360" t="str">
        <f>IF('Effektiv rente stående lån'!D9=1," ",CONCATENATE("Da terminerne på lånet er ",'Effektiv rente stående lån'!D9," gange pr. år skal følgende beregning foretages:"))</f>
        <v> </v>
      </c>
      <c r="B17" s="405"/>
      <c r="C17" s="405"/>
      <c r="D17" s="405"/>
      <c r="E17" s="405"/>
      <c r="F17" s="405"/>
      <c r="G17" s="405"/>
      <c r="H17" s="316"/>
      <c r="I17" s="316"/>
      <c r="J17" s="316"/>
    </row>
    <row r="18" spans="1:5" ht="24" customHeight="1">
      <c r="A18" s="370">
        <f>IF('Effektiv rente stående lån'!$D$9=1,"","(1+r)")</f>
      </c>
      <c r="B18" s="371">
        <f>IF('Effektiv rente stående lån'!D9=1,"",'Effektiv rente stående lån'!D9)</f>
      </c>
      <c r="C18" s="370">
        <f>IF('Effektiv rente stående lån'!$D$9=1,"","-1")</f>
      </c>
      <c r="D18" s="442">
        <f>IF('Effektiv rente stående lån'!$D$9=1,"",CONCATENATE("="," Årlig rente"))</f>
      </c>
      <c r="E18" s="442"/>
    </row>
    <row r="19" spans="1:7" ht="18">
      <c r="A19" s="423">
        <f>IF('Effektiv rente stående lån'!$D$9=1,"","Ved at indsætte fås:")</f>
      </c>
      <c r="B19" s="407"/>
      <c r="C19" s="407"/>
      <c r="D19" s="407"/>
      <c r="E19" s="407"/>
      <c r="F19" s="407"/>
      <c r="G19" s="407"/>
    </row>
    <row r="20" spans="1:5" ht="22.5" customHeight="1">
      <c r="A20" s="373">
        <f>IF('Effektiv rente stående lån'!D9=1,"",CONCATENATE("(1+",ROUND(D13,4),")"))</f>
      </c>
      <c r="B20" s="424">
        <f>B18</f>
      </c>
      <c r="C20" s="370">
        <f>IF('Effektiv rente stående lån'!$D$9=1,"","-1")</f>
      </c>
      <c r="D20" s="442">
        <f>D18</f>
      </c>
      <c r="E20" s="442"/>
    </row>
    <row r="21" spans="1:5" ht="27.75" customHeight="1">
      <c r="A21" s="503">
        <f>IF('Effektiv rente stående lån'!D9=1,"",'Effektiv rente stående lån'!D15)</f>
      </c>
      <c r="B21" s="503"/>
      <c r="C21" s="503"/>
      <c r="D21" s="502">
        <f>D20</f>
      </c>
      <c r="E21" s="502"/>
    </row>
    <row r="22" spans="1:13" ht="18">
      <c r="A22" s="442">
        <f>IF('Effektiv rente stående lån'!D9=1,"","Eller udtrykt i procent:")</f>
      </c>
      <c r="B22" s="442"/>
      <c r="C22" s="442"/>
      <c r="D22" s="442"/>
      <c r="E22" s="442"/>
      <c r="F22" s="442"/>
      <c r="G22" s="442"/>
      <c r="H22" s="442"/>
      <c r="I22" s="442"/>
      <c r="J22" s="442"/>
      <c r="K22" s="442"/>
      <c r="L22" s="442"/>
      <c r="M22" s="442"/>
    </row>
    <row r="23" spans="1:5" ht="24" customHeight="1">
      <c r="A23" s="440">
        <f>IF('Effektiv rente stående lån'!$D$9=1,"",CONCATENATE("Årlig rente = ",ROUND('Effektiv rente stående lån'!D15*100,2),"%"))</f>
      </c>
      <c r="B23" s="440"/>
      <c r="C23" s="440"/>
      <c r="D23" s="440"/>
      <c r="E23" s="440"/>
    </row>
  </sheetData>
  <mergeCells count="39">
    <mergeCell ref="D11:E11"/>
    <mergeCell ref="D20:E20"/>
    <mergeCell ref="D18:E18"/>
    <mergeCell ref="A12:M12"/>
    <mergeCell ref="A14:M14"/>
    <mergeCell ref="A1:N1"/>
    <mergeCell ref="I7:I8"/>
    <mergeCell ref="I10:I11"/>
    <mergeCell ref="M7:M8"/>
    <mergeCell ref="H10:H11"/>
    <mergeCell ref="J10:J11"/>
    <mergeCell ref="K10:K11"/>
    <mergeCell ref="N7:N8"/>
    <mergeCell ref="N10:N11"/>
    <mergeCell ref="J7:J8"/>
    <mergeCell ref="A2:N2"/>
    <mergeCell ref="H7:H8"/>
    <mergeCell ref="A7:A8"/>
    <mergeCell ref="B7:B8"/>
    <mergeCell ref="L7:L8"/>
    <mergeCell ref="D4:F4"/>
    <mergeCell ref="D5:F5"/>
    <mergeCell ref="D8:E8"/>
    <mergeCell ref="F7:F8"/>
    <mergeCell ref="G7:G8"/>
    <mergeCell ref="A6:N6"/>
    <mergeCell ref="D3:J3"/>
    <mergeCell ref="B10:B11"/>
    <mergeCell ref="A10:A11"/>
    <mergeCell ref="K7:K8"/>
    <mergeCell ref="A9:M9"/>
    <mergeCell ref="L10:L11"/>
    <mergeCell ref="M10:M11"/>
    <mergeCell ref="F10:F11"/>
    <mergeCell ref="G10:G11"/>
    <mergeCell ref="A23:E23"/>
    <mergeCell ref="D21:E21"/>
    <mergeCell ref="A21:C21"/>
    <mergeCell ref="A22:M22"/>
  </mergeCells>
  <printOptions/>
  <pageMargins left="0.1968503937007874" right="0.1968503937007874" top="0.984251968503937" bottom="0.984251968503937" header="0" footer="0"/>
  <pageSetup fitToHeight="1" fitToWidth="1" horizontalDpi="600" verticalDpi="600" orientation="portrait" paperSize="9" scale="79" r:id="rId1"/>
  <ignoredErrors>
    <ignoredError sqref="M10 C20" 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I81"/>
  <sheetViews>
    <sheetView zoomScale="150" zoomScaleNormal="150" workbookViewId="0" topLeftCell="A5">
      <selection activeCell="A60" sqref="A60"/>
    </sheetView>
  </sheetViews>
  <sheetFormatPr defaultColWidth="9.140625" defaultRowHeight="12.75"/>
  <cols>
    <col min="1" max="1" width="29.7109375" style="0" customWidth="1"/>
    <col min="2" max="2" width="13.7109375" style="0" customWidth="1"/>
    <col min="3" max="3" width="15.140625" style="0" bestFit="1" customWidth="1"/>
    <col min="4" max="4" width="15.28125" style="0" customWidth="1"/>
    <col min="5" max="5" width="14.28125" style="0" customWidth="1"/>
    <col min="6" max="6" width="18.28125" style="0" customWidth="1"/>
    <col min="7" max="7" width="14.7109375" style="0" customWidth="1"/>
    <col min="8" max="8" width="14.28125" style="0" bestFit="1" customWidth="1"/>
  </cols>
  <sheetData>
    <row r="1" spans="1:8" ht="13.5" thickBot="1">
      <c r="A1" s="121" t="s">
        <v>93</v>
      </c>
      <c r="B1" s="121"/>
      <c r="C1" s="121"/>
      <c r="D1" s="121"/>
      <c r="E1" s="121"/>
      <c r="F1" s="121"/>
      <c r="G1" s="121"/>
      <c r="H1" s="121"/>
    </row>
    <row r="2" spans="1:8" ht="12.75">
      <c r="A2" s="518" t="s">
        <v>94</v>
      </c>
      <c r="B2" s="519"/>
      <c r="C2" s="519"/>
      <c r="D2" s="519"/>
      <c r="E2" s="519"/>
      <c r="F2" s="519"/>
      <c r="G2" s="519"/>
      <c r="H2" s="520"/>
    </row>
    <row r="3" spans="1:8" ht="13.5" customHeight="1" thickBot="1">
      <c r="A3" s="122"/>
      <c r="B3" s="123"/>
      <c r="C3" s="123"/>
      <c r="D3" s="118"/>
      <c r="E3" s="118"/>
      <c r="F3" s="521" t="s">
        <v>95</v>
      </c>
      <c r="G3" s="521"/>
      <c r="H3" s="522"/>
    </row>
    <row r="4" spans="1:8" ht="25.5">
      <c r="A4" s="124"/>
      <c r="B4" s="125" t="s">
        <v>96</v>
      </c>
      <c r="C4" s="125" t="s">
        <v>97</v>
      </c>
      <c r="D4" s="125" t="s">
        <v>98</v>
      </c>
      <c r="E4" s="125" t="s">
        <v>99</v>
      </c>
      <c r="F4" s="126" t="s">
        <v>100</v>
      </c>
      <c r="G4" s="126" t="s">
        <v>101</v>
      </c>
      <c r="H4" s="127" t="s">
        <v>102</v>
      </c>
    </row>
    <row r="5" spans="1:8" ht="12.75">
      <c r="A5" s="12" t="s">
        <v>103</v>
      </c>
      <c r="B5" s="75">
        <v>8200</v>
      </c>
      <c r="C5" s="130">
        <f>8175500/B5</f>
        <v>997.0121951219512</v>
      </c>
      <c r="D5" s="75">
        <v>8000</v>
      </c>
      <c r="E5" s="75">
        <v>1000</v>
      </c>
      <c r="F5" s="131">
        <f>E5*B5</f>
        <v>8200000</v>
      </c>
      <c r="G5" s="131">
        <f>E5*D5</f>
        <v>8000000</v>
      </c>
      <c r="H5" s="132">
        <f>F5-G5</f>
        <v>200000</v>
      </c>
    </row>
    <row r="6" spans="1:8" ht="12.75">
      <c r="A6" s="12" t="s">
        <v>104</v>
      </c>
      <c r="B6" s="75">
        <f>B5</f>
        <v>8200</v>
      </c>
      <c r="C6" s="130">
        <f>C5</f>
        <v>997.0121951219512</v>
      </c>
      <c r="D6" s="75">
        <f>D5</f>
        <v>8000</v>
      </c>
      <c r="E6" s="75">
        <f>593-15</f>
        <v>578</v>
      </c>
      <c r="F6" s="131">
        <f>E6*B6</f>
        <v>4739600</v>
      </c>
      <c r="G6" s="131">
        <f>E6*D6</f>
        <v>4624000</v>
      </c>
      <c r="H6" s="132">
        <f>G6-F6</f>
        <v>-115600</v>
      </c>
    </row>
    <row r="7" spans="1:8" ht="12.75">
      <c r="A7" s="12" t="s">
        <v>105</v>
      </c>
      <c r="B7" s="75"/>
      <c r="C7" s="130"/>
      <c r="D7" s="75"/>
      <c r="E7" s="75"/>
      <c r="F7" s="131">
        <f>F5-F6</f>
        <v>3460400</v>
      </c>
      <c r="G7" s="131">
        <f>G5-G6</f>
        <v>3376000</v>
      </c>
      <c r="H7" s="132">
        <f>F7-G7</f>
        <v>84400</v>
      </c>
    </row>
    <row r="8" spans="1:8" ht="12.75">
      <c r="A8" s="12" t="s">
        <v>106</v>
      </c>
      <c r="B8" s="75">
        <f>B6</f>
        <v>8200</v>
      </c>
      <c r="C8" s="130">
        <f>C6</f>
        <v>997.0121951219512</v>
      </c>
      <c r="D8" s="75">
        <f>D6</f>
        <v>8000</v>
      </c>
      <c r="E8" s="75">
        <v>0</v>
      </c>
      <c r="F8" s="131">
        <f>E8*B8</f>
        <v>0</v>
      </c>
      <c r="G8" s="131">
        <f>E8*D8</f>
        <v>0</v>
      </c>
      <c r="H8" s="132">
        <f>G8-F8</f>
        <v>0</v>
      </c>
    </row>
    <row r="9" spans="1:8" ht="13.5" thickBot="1">
      <c r="A9" s="122" t="s">
        <v>107</v>
      </c>
      <c r="B9" s="123"/>
      <c r="C9" s="123"/>
      <c r="D9" s="123"/>
      <c r="E9" s="123"/>
      <c r="F9" s="133">
        <f>F7-F8</f>
        <v>3460400</v>
      </c>
      <c r="G9" s="133">
        <f>G7-G8</f>
        <v>3376000</v>
      </c>
      <c r="H9" s="134">
        <f>F9-G9</f>
        <v>84400</v>
      </c>
    </row>
    <row r="10" spans="1:8" ht="12.75">
      <c r="A10" s="124" t="s">
        <v>108</v>
      </c>
      <c r="B10" s="135"/>
      <c r="C10" s="519" t="s">
        <v>109</v>
      </c>
      <c r="D10" s="519"/>
      <c r="E10" s="519"/>
      <c r="F10" s="136"/>
      <c r="G10" s="136"/>
      <c r="H10" s="137"/>
    </row>
    <row r="11" spans="1:8" ht="13.5" thickBot="1">
      <c r="A11" s="138" t="str">
        <f>CONCATENATE("Kan regnes som ",ROUND(C5,0)," - ",E5," gange ",B5)</f>
        <v>Kan regnes som 997 - 1000 gange 8200</v>
      </c>
      <c r="B11" s="123"/>
      <c r="C11" s="139">
        <f>C5*B5</f>
        <v>8175500</v>
      </c>
      <c r="D11" s="123" t="str">
        <f>CONCATENATE("-  (",B5," * ",E5,")")</f>
        <v>-  (8200 * 1000)</v>
      </c>
      <c r="E11" s="123"/>
      <c r="F11" s="133">
        <f>B5*C5-(B5*E5)</f>
        <v>-24500</v>
      </c>
      <c r="G11" s="133"/>
      <c r="H11" s="134">
        <f>F11</f>
        <v>-24500</v>
      </c>
    </row>
    <row r="12" spans="1:8" ht="12.75" hidden="1">
      <c r="A12" s="140" t="s">
        <v>110</v>
      </c>
      <c r="B12" s="141"/>
      <c r="C12" s="523" t="s">
        <v>111</v>
      </c>
      <c r="D12" s="523"/>
      <c r="E12" s="523"/>
      <c r="F12" s="142"/>
      <c r="G12" s="142"/>
      <c r="H12" s="143"/>
    </row>
    <row r="13" spans="1:8" ht="13.5" hidden="1" thickBot="1">
      <c r="A13" s="144" t="str">
        <f>CONCATENATE("Kan regnes som ",E6," - ",B74," gange ",B67)</f>
        <v>Kan regnes som 578 -  gange </v>
      </c>
      <c r="B13" s="69"/>
      <c r="C13" s="69" t="str">
        <f>CONCATENATE(" ( ",B67,"*",E6," )")</f>
        <v> ( *578 )</v>
      </c>
      <c r="D13" s="69" t="str">
        <f>CONCATENATE("- ",B67*B74,)</f>
        <v>- 0</v>
      </c>
      <c r="E13" s="69"/>
      <c r="F13" s="145">
        <f>(B67*E6)-(B67*B74)</f>
        <v>0</v>
      </c>
      <c r="G13" s="145"/>
      <c r="H13" s="146">
        <f>F13</f>
        <v>0</v>
      </c>
    </row>
    <row r="14" spans="1:8" ht="12.75" hidden="1">
      <c r="A14" s="147" t="s">
        <v>110</v>
      </c>
      <c r="B14" s="87"/>
      <c r="C14" s="87"/>
      <c r="D14" s="87"/>
      <c r="E14" s="87"/>
      <c r="F14" s="148"/>
      <c r="G14" s="148"/>
      <c r="H14" s="149"/>
    </row>
    <row r="15" spans="1:8" ht="13.5" hidden="1" thickBot="1">
      <c r="A15" s="150"/>
      <c r="B15" s="87"/>
      <c r="C15" s="87"/>
      <c r="D15" s="87"/>
      <c r="E15" s="87"/>
      <c r="F15" s="148">
        <f>H15</f>
        <v>0</v>
      </c>
      <c r="G15" s="148"/>
      <c r="H15" s="149">
        <f>H57</f>
        <v>0</v>
      </c>
    </row>
    <row r="16" spans="1:8" ht="12.75" hidden="1">
      <c r="A16" s="140" t="s">
        <v>112</v>
      </c>
      <c r="B16" s="141"/>
      <c r="C16" s="141"/>
      <c r="D16" s="141"/>
      <c r="E16" s="141"/>
      <c r="F16" s="142"/>
      <c r="G16" s="142"/>
      <c r="H16" s="143"/>
    </row>
    <row r="17" spans="1:8" ht="13.5" hidden="1" thickBot="1">
      <c r="A17" s="151"/>
      <c r="B17" s="69"/>
      <c r="C17" s="69"/>
      <c r="D17" s="69"/>
      <c r="E17" s="69"/>
      <c r="F17" s="145">
        <f>H17</f>
        <v>0</v>
      </c>
      <c r="G17" s="145"/>
      <c r="H17" s="146">
        <f>H64</f>
        <v>0</v>
      </c>
    </row>
    <row r="18" spans="1:8" ht="12.75" hidden="1">
      <c r="A18" s="140" t="s">
        <v>113</v>
      </c>
      <c r="B18" s="141"/>
      <c r="C18" s="141"/>
      <c r="D18" s="141"/>
      <c r="E18" s="141"/>
      <c r="F18" s="142"/>
      <c r="G18" s="142"/>
      <c r="H18" s="143"/>
    </row>
    <row r="19" spans="1:8" ht="12.75" hidden="1">
      <c r="A19" s="22" t="s">
        <v>114</v>
      </c>
      <c r="B19" s="87"/>
      <c r="C19" s="87"/>
      <c r="D19" s="87"/>
      <c r="E19" s="87"/>
      <c r="F19" s="148">
        <f>H19</f>
        <v>0</v>
      </c>
      <c r="G19" s="148"/>
      <c r="H19" s="149">
        <f>SUM(B39:E39)</f>
        <v>0</v>
      </c>
    </row>
    <row r="20" spans="1:8" ht="12.75" hidden="1">
      <c r="A20" s="22" t="s">
        <v>115</v>
      </c>
      <c r="B20" s="87"/>
      <c r="C20" s="87"/>
      <c r="D20" s="87"/>
      <c r="E20" s="87"/>
      <c r="F20" s="148">
        <f>H20</f>
        <v>0</v>
      </c>
      <c r="G20" s="148"/>
      <c r="H20" s="149">
        <f>H50</f>
        <v>0</v>
      </c>
    </row>
    <row r="21" spans="1:8" ht="13.5" hidden="1" thickBot="1">
      <c r="A21" s="151" t="s">
        <v>116</v>
      </c>
      <c r="B21" s="69"/>
      <c r="C21" s="69"/>
      <c r="D21" s="69"/>
      <c r="E21" s="69"/>
      <c r="F21" s="145">
        <f>H21</f>
        <v>0</v>
      </c>
      <c r="G21" s="145"/>
      <c r="H21" s="146">
        <f>H39</f>
        <v>0</v>
      </c>
    </row>
    <row r="22" spans="1:8" ht="12.75" hidden="1">
      <c r="A22" s="140" t="s">
        <v>117</v>
      </c>
      <c r="B22" s="141"/>
      <c r="C22" s="523" t="s">
        <v>118</v>
      </c>
      <c r="D22" s="523"/>
      <c r="E22" s="523"/>
      <c r="F22" s="141"/>
      <c r="G22" s="141"/>
      <c r="H22" s="152"/>
    </row>
    <row r="23" spans="1:8" ht="13.5" hidden="1" thickBot="1">
      <c r="A23" s="144" t="str">
        <f>CONCATENATE("Kan regnes som ",ROUND(B75,2)," - ",E8," gange ",B5)</f>
        <v>Kan regnes som 0 - 0 gange 8200</v>
      </c>
      <c r="B23" s="69"/>
      <c r="C23" s="153">
        <v>0</v>
      </c>
      <c r="D23" s="69" t="str">
        <f>CONCATENATE("- ",F8,)</f>
        <v>- 0</v>
      </c>
      <c r="E23" s="69"/>
      <c r="F23" s="145">
        <f>F8-C23</f>
        <v>0</v>
      </c>
      <c r="G23" s="69"/>
      <c r="H23" s="146">
        <f>F23</f>
        <v>0</v>
      </c>
    </row>
    <row r="24" spans="1:9" ht="12.75" hidden="1">
      <c r="A24" s="140" t="s">
        <v>119</v>
      </c>
      <c r="B24" s="141"/>
      <c r="C24" s="141"/>
      <c r="D24" s="141"/>
      <c r="E24" s="141"/>
      <c r="F24" s="142">
        <f>F9+F11+F13+F15+F17+F19+F20+F21+F23</f>
        <v>3435900</v>
      </c>
      <c r="G24" s="142">
        <f>G9</f>
        <v>3376000</v>
      </c>
      <c r="H24" s="143">
        <f>H9+H11+H13+H15+H17+H19+H20+H21+H23</f>
        <v>59900</v>
      </c>
      <c r="I24" s="154"/>
    </row>
    <row r="25" spans="1:8" ht="12.75" hidden="1">
      <c r="A25" s="22" t="s">
        <v>120</v>
      </c>
      <c r="B25" s="87"/>
      <c r="C25" s="87"/>
      <c r="D25" s="87"/>
      <c r="E25" s="87"/>
      <c r="F25" s="155">
        <v>0</v>
      </c>
      <c r="G25" s="155">
        <v>0</v>
      </c>
      <c r="H25" s="149">
        <f>G25-F25</f>
        <v>0</v>
      </c>
    </row>
    <row r="26" spans="1:8" ht="12.75" hidden="1">
      <c r="A26" s="22" t="s">
        <v>34</v>
      </c>
      <c r="B26" s="87"/>
      <c r="C26" s="87"/>
      <c r="D26" s="87"/>
      <c r="E26" s="87"/>
      <c r="F26" s="148">
        <f>F24-F25</f>
        <v>3435900</v>
      </c>
      <c r="G26" s="148">
        <f>G24-G25</f>
        <v>3376000</v>
      </c>
      <c r="H26" s="149">
        <f>H24-H25</f>
        <v>59900</v>
      </c>
    </row>
    <row r="27" spans="1:8" ht="12.75" hidden="1">
      <c r="A27" s="22" t="s">
        <v>121</v>
      </c>
      <c r="B27" s="87"/>
      <c r="C27" s="87"/>
      <c r="D27" s="87"/>
      <c r="E27" s="87"/>
      <c r="F27" s="155">
        <v>0</v>
      </c>
      <c r="G27" s="155">
        <v>0</v>
      </c>
      <c r="H27" s="149">
        <f>G27-F27</f>
        <v>0</v>
      </c>
    </row>
    <row r="28" spans="1:8" ht="12.75" hidden="1">
      <c r="A28" s="22" t="s">
        <v>122</v>
      </c>
      <c r="B28" s="87"/>
      <c r="C28" s="87"/>
      <c r="D28" s="87"/>
      <c r="E28" s="87"/>
      <c r="F28" s="148">
        <f>F26-F27</f>
        <v>3435900</v>
      </c>
      <c r="G28" s="148">
        <f>G26-G27</f>
        <v>3376000</v>
      </c>
      <c r="H28" s="149">
        <f>H26+H27</f>
        <v>59900</v>
      </c>
    </row>
    <row r="29" spans="1:8" s="75" customFormat="1" ht="13.5" thickBot="1">
      <c r="A29" s="12" t="s">
        <v>123</v>
      </c>
      <c r="F29" s="131"/>
      <c r="G29" s="131"/>
      <c r="H29" s="131"/>
    </row>
    <row r="30" spans="1:8" s="75" customFormat="1" ht="13.5" thickBot="1">
      <c r="A30" s="124"/>
      <c r="B30" s="156" t="s">
        <v>124</v>
      </c>
      <c r="C30" s="156" t="s">
        <v>125</v>
      </c>
      <c r="D30" s="156" t="s">
        <v>126</v>
      </c>
      <c r="E30" s="156" t="s">
        <v>127</v>
      </c>
      <c r="F30" s="157" t="s">
        <v>128</v>
      </c>
      <c r="G30" s="158"/>
      <c r="H30" s="159"/>
    </row>
    <row r="31" spans="1:8" s="75" customFormat="1" ht="13.5" thickBot="1">
      <c r="A31" s="160" t="s">
        <v>129</v>
      </c>
      <c r="B31" s="161">
        <v>8255</v>
      </c>
      <c r="C31" s="161">
        <v>6800</v>
      </c>
      <c r="D31" s="161">
        <v>26400</v>
      </c>
      <c r="E31" s="161">
        <v>8225</v>
      </c>
      <c r="F31" s="162"/>
      <c r="G31" s="163"/>
      <c r="H31" s="164"/>
    </row>
    <row r="32" spans="1:8" s="75" customFormat="1" ht="13.5" thickBot="1">
      <c r="A32" s="165" t="s">
        <v>130</v>
      </c>
      <c r="B32" s="161">
        <v>8250</v>
      </c>
      <c r="C32" s="161">
        <f>0.8*8250</f>
        <v>6600</v>
      </c>
      <c r="D32" s="166">
        <f>3*8250</f>
        <v>24750</v>
      </c>
      <c r="E32" s="166">
        <v>8250</v>
      </c>
      <c r="F32" s="167"/>
      <c r="G32" s="168"/>
      <c r="H32" s="169"/>
    </row>
    <row r="33" spans="1:8" s="75" customFormat="1" ht="13.5" thickBot="1">
      <c r="A33" s="170" t="s">
        <v>131</v>
      </c>
      <c r="B33" s="161">
        <f>B32-B31</f>
        <v>-5</v>
      </c>
      <c r="C33" s="161">
        <f>C32-C31</f>
        <v>-200</v>
      </c>
      <c r="D33" s="161">
        <f>D32-D31</f>
        <v>-1650</v>
      </c>
      <c r="E33" s="161">
        <f>E32-E31</f>
        <v>25</v>
      </c>
      <c r="F33" s="162"/>
      <c r="G33" s="163"/>
      <c r="H33" s="164"/>
    </row>
    <row r="34" spans="1:8" s="75" customFormat="1" ht="13.5" thickBot="1">
      <c r="A34" s="165" t="s">
        <v>132</v>
      </c>
      <c r="B34" s="166"/>
      <c r="C34" s="166">
        <f>C32*0.05</f>
        <v>330</v>
      </c>
      <c r="D34" s="166">
        <f>D32*0.05</f>
        <v>1237.5</v>
      </c>
      <c r="E34" s="166"/>
      <c r="F34" s="167"/>
      <c r="G34" s="168"/>
      <c r="H34" s="169"/>
    </row>
    <row r="35" spans="1:8" s="75" customFormat="1" ht="13.5" thickBot="1">
      <c r="A35" s="170" t="s">
        <v>133</v>
      </c>
      <c r="B35" s="161">
        <f>B33</f>
        <v>-5</v>
      </c>
      <c r="C35" s="161">
        <f>C33+C34</f>
        <v>130</v>
      </c>
      <c r="D35" s="161">
        <f>D33+D34</f>
        <v>-412.5</v>
      </c>
      <c r="E35" s="161">
        <f>E33</f>
        <v>25</v>
      </c>
      <c r="F35" s="162"/>
      <c r="G35" s="163"/>
      <c r="H35" s="164"/>
    </row>
    <row r="36" spans="1:8" s="75" customFormat="1" ht="13.5" thickBot="1">
      <c r="A36" s="165" t="s">
        <v>134</v>
      </c>
      <c r="B36" s="166">
        <f>35+100+120</f>
        <v>255</v>
      </c>
      <c r="C36" s="166">
        <v>110</v>
      </c>
      <c r="D36" s="166">
        <v>24</v>
      </c>
      <c r="E36" s="166">
        <v>155</v>
      </c>
      <c r="F36" s="167"/>
      <c r="G36" s="168"/>
      <c r="H36" s="169"/>
    </row>
    <row r="37" spans="1:8" s="75" customFormat="1" ht="13.5" thickBot="1">
      <c r="A37" s="170" t="s">
        <v>135</v>
      </c>
      <c r="B37" s="161">
        <f>B35*B36</f>
        <v>-1275</v>
      </c>
      <c r="C37" s="161">
        <f>C35*C36</f>
        <v>14300</v>
      </c>
      <c r="D37" s="161">
        <f>D35*D36</f>
        <v>-9900</v>
      </c>
      <c r="E37" s="161">
        <f>E35*E36</f>
        <v>3875</v>
      </c>
      <c r="F37" s="162">
        <f>SUM(B37:E37)</f>
        <v>7000</v>
      </c>
      <c r="G37" s="163"/>
      <c r="H37" s="164"/>
    </row>
    <row r="38" spans="1:8" s="75" customFormat="1" ht="12.75">
      <c r="A38" s="171"/>
      <c r="B38" s="172"/>
      <c r="C38" s="172"/>
      <c r="D38" s="172"/>
      <c r="E38" s="172"/>
      <c r="F38" s="173"/>
      <c r="G38" s="174"/>
      <c r="H38" s="172"/>
    </row>
    <row r="39" spans="1:8" s="75" customFormat="1" ht="12.75">
      <c r="A39" s="171" t="s">
        <v>136</v>
      </c>
      <c r="B39" s="172"/>
      <c r="C39" s="172"/>
      <c r="D39" s="172"/>
      <c r="E39" s="172"/>
      <c r="F39" s="168"/>
      <c r="G39" s="168"/>
      <c r="H39" s="172"/>
    </row>
    <row r="40" spans="1:8" s="75" customFormat="1" ht="12.75">
      <c r="A40" s="175"/>
      <c r="B40" s="75" t="s">
        <v>137</v>
      </c>
      <c r="C40" s="75" t="s">
        <v>125</v>
      </c>
      <c r="D40" s="75" t="s">
        <v>138</v>
      </c>
      <c r="E40" s="75" t="s">
        <v>139</v>
      </c>
      <c r="G40" s="176"/>
      <c r="H40" s="131"/>
    </row>
    <row r="41" spans="1:8" s="75" customFormat="1" ht="12.75">
      <c r="A41" s="171" t="s">
        <v>140</v>
      </c>
      <c r="B41" s="177" t="s">
        <v>141</v>
      </c>
      <c r="C41" s="178" t="s">
        <v>142</v>
      </c>
      <c r="D41" s="178" t="s">
        <v>143</v>
      </c>
      <c r="E41" s="178" t="s">
        <v>127</v>
      </c>
      <c r="F41" s="179"/>
      <c r="G41" s="180"/>
      <c r="H41" s="181"/>
    </row>
    <row r="42" spans="1:8" s="75" customFormat="1" ht="12.75">
      <c r="A42" s="171" t="s">
        <v>144</v>
      </c>
      <c r="B42" s="182">
        <v>8255</v>
      </c>
      <c r="C42" s="183">
        <f>C31</f>
        <v>6800</v>
      </c>
      <c r="D42" s="183">
        <f>D31</f>
        <v>26400</v>
      </c>
      <c r="E42" s="183">
        <f>E31</f>
        <v>8225</v>
      </c>
      <c r="F42" s="180"/>
      <c r="G42" s="180"/>
      <c r="H42" s="172"/>
    </row>
    <row r="43" spans="1:8" s="75" customFormat="1" ht="12.75">
      <c r="A43" s="184" t="s">
        <v>145</v>
      </c>
      <c r="B43" s="183">
        <v>0</v>
      </c>
      <c r="C43" s="183">
        <v>0</v>
      </c>
      <c r="D43" s="183">
        <v>0</v>
      </c>
      <c r="E43" s="183">
        <v>0</v>
      </c>
      <c r="F43" s="180"/>
      <c r="G43" s="180"/>
      <c r="H43" s="172"/>
    </row>
    <row r="44" spans="1:8" s="75" customFormat="1" ht="12.75">
      <c r="A44" s="184" t="s">
        <v>146</v>
      </c>
      <c r="B44" s="183">
        <v>0</v>
      </c>
      <c r="C44" s="183">
        <v>0</v>
      </c>
      <c r="D44" s="183">
        <v>0</v>
      </c>
      <c r="E44" s="183">
        <v>0</v>
      </c>
      <c r="F44" s="180"/>
      <c r="G44" s="180"/>
      <c r="H44" s="172"/>
    </row>
    <row r="45" spans="1:8" s="75" customFormat="1" ht="12.75">
      <c r="A45" s="185" t="s">
        <v>147</v>
      </c>
      <c r="B45" s="186">
        <f>B42+B43-B44</f>
        <v>8255</v>
      </c>
      <c r="C45" s="186">
        <f>C42+C43-C44</f>
        <v>6800</v>
      </c>
      <c r="D45" s="186">
        <f>D42+D43-D44</f>
        <v>26400</v>
      </c>
      <c r="E45" s="186">
        <f>E42+E43-E44</f>
        <v>8225</v>
      </c>
      <c r="F45" s="180"/>
      <c r="G45" s="180"/>
      <c r="H45" s="172"/>
    </row>
    <row r="46" spans="1:8" s="75" customFormat="1" ht="12.75">
      <c r="A46" s="185"/>
      <c r="B46" s="174"/>
      <c r="C46" s="180"/>
      <c r="D46" s="180"/>
      <c r="E46" s="180"/>
      <c r="F46" s="180"/>
      <c r="G46" s="180"/>
      <c r="H46" s="172"/>
    </row>
    <row r="47" spans="1:8" s="75" customFormat="1" ht="12.75">
      <c r="A47" s="185" t="s">
        <v>148</v>
      </c>
      <c r="B47" s="174"/>
      <c r="C47" s="180"/>
      <c r="D47" s="180"/>
      <c r="E47" s="180"/>
      <c r="F47" s="180"/>
      <c r="G47" s="180"/>
      <c r="H47" s="172"/>
    </row>
    <row r="48" spans="1:8" s="75" customFormat="1" ht="12.75">
      <c r="A48" s="185" t="s">
        <v>149</v>
      </c>
      <c r="B48" s="174">
        <v>8250</v>
      </c>
      <c r="C48" s="180"/>
      <c r="D48" s="180"/>
      <c r="E48" s="180"/>
      <c r="F48" s="180"/>
      <c r="G48" s="187"/>
      <c r="H48" s="172"/>
    </row>
    <row r="49" spans="1:8" s="75" customFormat="1" ht="12.75">
      <c r="A49" s="188" t="s">
        <v>150</v>
      </c>
      <c r="B49" s="189"/>
      <c r="C49" s="180">
        <f>C32</f>
        <v>6600</v>
      </c>
      <c r="D49" s="180"/>
      <c r="E49" s="180"/>
      <c r="F49" s="180"/>
      <c r="G49" s="187"/>
      <c r="H49" s="172"/>
    </row>
    <row r="50" spans="1:8" s="75" customFormat="1" ht="12.75">
      <c r="A50" s="184" t="s">
        <v>151</v>
      </c>
      <c r="B50" s="174"/>
      <c r="C50" s="180"/>
      <c r="D50" s="180">
        <f>8250*3</f>
        <v>24750</v>
      </c>
      <c r="E50" s="180"/>
      <c r="F50" s="180"/>
      <c r="G50" s="180"/>
      <c r="H50" s="172"/>
    </row>
    <row r="51" spans="1:8" s="75" customFormat="1" ht="12.75">
      <c r="A51" s="188" t="s">
        <v>152</v>
      </c>
      <c r="E51" s="75">
        <f>8250</f>
        <v>8250</v>
      </c>
      <c r="F51" s="190"/>
      <c r="G51" s="190"/>
      <c r="H51" s="131"/>
    </row>
    <row r="52" spans="1:8" s="75" customFormat="1" ht="12.75">
      <c r="A52" s="185" t="s">
        <v>153</v>
      </c>
      <c r="B52" s="191">
        <f>SUM(B48:B51)</f>
        <v>8250</v>
      </c>
      <c r="C52" s="191">
        <f>SUM(C48:C51)</f>
        <v>6600</v>
      </c>
      <c r="D52" s="191">
        <f>SUM(D48:D51)</f>
        <v>24750</v>
      </c>
      <c r="E52" s="191">
        <f>SUM(E48:E51)</f>
        <v>8250</v>
      </c>
      <c r="F52" s="180"/>
      <c r="G52" s="180"/>
      <c r="H52" s="174"/>
    </row>
    <row r="53" spans="1:8" s="75" customFormat="1" ht="12.75">
      <c r="A53" s="185"/>
      <c r="C53" s="180"/>
      <c r="D53" s="180"/>
      <c r="E53" s="180"/>
      <c r="F53" s="180"/>
      <c r="G53" s="180"/>
      <c r="H53" s="174"/>
    </row>
    <row r="54" spans="1:8" s="75" customFormat="1" ht="12.75">
      <c r="A54" s="185" t="s">
        <v>154</v>
      </c>
      <c r="B54" s="131">
        <f>B52-B45</f>
        <v>-5</v>
      </c>
      <c r="C54" s="131">
        <f>C52-C45</f>
        <v>-200</v>
      </c>
      <c r="D54" s="131">
        <f>D52-D45</f>
        <v>-1650</v>
      </c>
      <c r="E54" s="131">
        <f>E52-E45</f>
        <v>25</v>
      </c>
      <c r="F54" s="180"/>
      <c r="G54" s="180"/>
      <c r="H54" s="174"/>
    </row>
    <row r="55" spans="1:8" s="75" customFormat="1" ht="12.75">
      <c r="A55" s="185" t="s">
        <v>155</v>
      </c>
      <c r="B55" s="131"/>
      <c r="C55" s="183">
        <f>C49*0.05</f>
        <v>330</v>
      </c>
      <c r="D55" s="183">
        <f>D50*0.05</f>
        <v>1237.5</v>
      </c>
      <c r="E55" s="183"/>
      <c r="F55" s="180"/>
      <c r="G55" s="180"/>
      <c r="H55" s="174"/>
    </row>
    <row r="56" spans="1:8" s="75" customFormat="1" ht="12.75">
      <c r="A56" s="185" t="s">
        <v>133</v>
      </c>
      <c r="B56" s="155">
        <f>B54+B55</f>
        <v>-5</v>
      </c>
      <c r="C56" s="155">
        <f>C54+C55</f>
        <v>130</v>
      </c>
      <c r="D56" s="155">
        <f>D54+D55</f>
        <v>-412.5</v>
      </c>
      <c r="E56" s="155">
        <f>E54+E55</f>
        <v>25</v>
      </c>
      <c r="F56" s="180"/>
      <c r="G56" s="180"/>
      <c r="H56" s="174"/>
    </row>
    <row r="57" spans="1:8" s="75" customFormat="1" ht="12.75">
      <c r="A57" s="185"/>
      <c r="B57" s="192" t="s">
        <v>156</v>
      </c>
      <c r="C57" s="193" t="s">
        <v>156</v>
      </c>
      <c r="D57" s="193" t="s">
        <v>156</v>
      </c>
      <c r="E57" s="193" t="s">
        <v>156</v>
      </c>
      <c r="F57" s="174"/>
      <c r="G57" s="180"/>
      <c r="H57" s="174"/>
    </row>
    <row r="58" spans="1:8" s="75" customFormat="1" ht="12.75">
      <c r="A58" s="185" t="s">
        <v>157</v>
      </c>
      <c r="B58" s="75">
        <f>35+100+120</f>
        <v>255</v>
      </c>
      <c r="C58" s="75">
        <v>110</v>
      </c>
      <c r="D58" s="75">
        <v>24</v>
      </c>
      <c r="E58" s="75">
        <v>155</v>
      </c>
      <c r="F58" s="190"/>
      <c r="G58" s="190"/>
      <c r="H58" s="131"/>
    </row>
    <row r="59" spans="1:8" s="75" customFormat="1" ht="12.75">
      <c r="A59" s="185" t="s">
        <v>133</v>
      </c>
      <c r="B59" s="75">
        <f>B58*B56</f>
        <v>-1275</v>
      </c>
      <c r="C59" s="75">
        <f>C58*C56</f>
        <v>14300</v>
      </c>
      <c r="D59" s="75">
        <f>D58*D56</f>
        <v>-9900</v>
      </c>
      <c r="E59" s="75">
        <f>E58*E56</f>
        <v>3875</v>
      </c>
      <c r="F59" s="173"/>
      <c r="G59" s="173"/>
      <c r="H59" s="172"/>
    </row>
    <row r="60" spans="1:8" s="75" customFormat="1" ht="12.75">
      <c r="A60" s="185" t="s">
        <v>158</v>
      </c>
      <c r="B60" s="517">
        <f>SUM(B59:E59)</f>
        <v>7000</v>
      </c>
      <c r="C60" s="517"/>
      <c r="D60" s="517"/>
      <c r="E60" s="517"/>
      <c r="F60" s="173"/>
      <c r="G60" s="173"/>
      <c r="H60" s="172"/>
    </row>
    <row r="61" spans="1:8" s="75" customFormat="1" ht="12.75">
      <c r="A61" s="185"/>
      <c r="C61" s="194"/>
      <c r="D61" s="172"/>
      <c r="E61" s="172"/>
      <c r="F61" s="173"/>
      <c r="G61" s="173"/>
      <c r="H61" s="172"/>
    </row>
    <row r="62" spans="1:8" s="75" customFormat="1" ht="12.75">
      <c r="A62" s="185"/>
      <c r="C62" s="194"/>
      <c r="D62" s="172"/>
      <c r="E62" s="172"/>
      <c r="F62" s="173"/>
      <c r="G62" s="173"/>
      <c r="H62" s="172"/>
    </row>
    <row r="63" spans="1:8" s="75" customFormat="1" ht="12.75">
      <c r="A63" s="185"/>
      <c r="C63" s="194"/>
      <c r="D63" s="172"/>
      <c r="E63" s="172"/>
      <c r="F63" s="173"/>
      <c r="G63" s="173"/>
      <c r="H63" s="172"/>
    </row>
    <row r="64" spans="1:8" s="75" customFormat="1" ht="12.75">
      <c r="A64" s="185"/>
      <c r="C64" s="172"/>
      <c r="D64" s="172"/>
      <c r="E64" s="172"/>
      <c r="F64" s="173"/>
      <c r="G64" s="173"/>
      <c r="H64" s="172"/>
    </row>
    <row r="65" s="75" customFormat="1" ht="12.75">
      <c r="A65" s="185"/>
    </row>
    <row r="66" s="75" customFormat="1" ht="12.75"/>
    <row r="67" s="75" customFormat="1" ht="12.75">
      <c r="A67" s="171"/>
    </row>
    <row r="68" s="75" customFormat="1" ht="12.75">
      <c r="A68" s="171"/>
    </row>
    <row r="69" s="75" customFormat="1" ht="12.75"/>
    <row r="70" s="75" customFormat="1" ht="12.75"/>
    <row r="71" s="75" customFormat="1" ht="12.75"/>
    <row r="72" s="75" customFormat="1" ht="12.75"/>
    <row r="73" s="75" customFormat="1" ht="12.75"/>
    <row r="74" s="75" customFormat="1" ht="12.75"/>
    <row r="75" s="75" customFormat="1" ht="12.75"/>
    <row r="76" s="75" customFormat="1" ht="12.75"/>
    <row r="77" spans="6:8" ht="12.75">
      <c r="F77" s="195"/>
      <c r="G77" s="195"/>
      <c r="H77" s="195"/>
    </row>
    <row r="78" spans="6:8" ht="12.75">
      <c r="F78" s="195"/>
      <c r="G78" s="195"/>
      <c r="H78" s="195"/>
    </row>
    <row r="79" spans="6:8" ht="12.75">
      <c r="F79" s="195"/>
      <c r="G79" s="195"/>
      <c r="H79" s="195"/>
    </row>
    <row r="80" spans="6:8" ht="12.75">
      <c r="F80" s="195"/>
      <c r="G80" s="195"/>
      <c r="H80" s="195"/>
    </row>
    <row r="81" spans="6:8" ht="12.75">
      <c r="F81" s="195"/>
      <c r="G81" s="195"/>
      <c r="H81" s="195"/>
    </row>
  </sheetData>
  <mergeCells count="6">
    <mergeCell ref="B60:E60"/>
    <mergeCell ref="A2:H2"/>
    <mergeCell ref="F3:H3"/>
    <mergeCell ref="C12:E12"/>
    <mergeCell ref="C10:E10"/>
    <mergeCell ref="C22:E22"/>
  </mergeCells>
  <printOptions/>
  <pageMargins left="0.1968503937007874" right="0.1968503937007874" top="0.3937007874015748" bottom="0.3937007874015748" header="0.5118110236220472" footer="0.5118110236220472"/>
  <pageSetup fitToHeight="1" fitToWidth="1" horizontalDpi="300" verticalDpi="300" orientation="portrait" paperSize="9" scale="74" r:id="rId3"/>
  <legacyDrawing r:id="rId2"/>
</worksheet>
</file>

<file path=xl/worksheets/sheet14.xml><?xml version="1.0" encoding="utf-8"?>
<worksheet xmlns="http://schemas.openxmlformats.org/spreadsheetml/2006/main" xmlns:r="http://schemas.openxmlformats.org/officeDocument/2006/relationships">
  <dimension ref="A1:E38"/>
  <sheetViews>
    <sheetView zoomScale="125" zoomScaleNormal="125" workbookViewId="0" topLeftCell="A1">
      <selection activeCell="C37" sqref="C37"/>
    </sheetView>
  </sheetViews>
  <sheetFormatPr defaultColWidth="9.140625" defaultRowHeight="12.75"/>
  <cols>
    <col min="1" max="1" width="25.00390625" style="0" customWidth="1"/>
    <col min="2" max="2" width="15.7109375" style="0" customWidth="1"/>
    <col min="3" max="3" width="8.140625" style="0" customWidth="1"/>
    <col min="4" max="4" width="9.28125" style="0" customWidth="1"/>
    <col min="5" max="5" width="16.28125" style="0" customWidth="1"/>
  </cols>
  <sheetData>
    <row r="1" spans="1:5" ht="24" thickBot="1">
      <c r="A1" s="524" t="str">
        <f>CONCATENATE("Resultatbudget for"," ","20x8")</f>
        <v>Resultatbudget for 20x8</v>
      </c>
      <c r="B1" s="524"/>
      <c r="C1" s="524"/>
      <c r="D1" s="524"/>
      <c r="E1" s="525"/>
    </row>
    <row r="2" spans="1:5" ht="25.5">
      <c r="A2" s="45"/>
      <c r="B2" s="46" t="s">
        <v>84</v>
      </c>
      <c r="C2" s="47" t="s">
        <v>40</v>
      </c>
      <c r="D2" s="48" t="s">
        <v>41</v>
      </c>
      <c r="E2" s="29" t="str">
        <f>CONCATENATE("Budget","20x8")</f>
        <v>Budget20x8</v>
      </c>
    </row>
    <row r="3" spans="1:5" ht="12.75">
      <c r="A3" s="22" t="s">
        <v>25</v>
      </c>
      <c r="B3" s="19">
        <v>25000</v>
      </c>
      <c r="C3" s="38">
        <v>0.97</v>
      </c>
      <c r="D3" s="38">
        <v>1.15</v>
      </c>
      <c r="E3" s="49">
        <f>B3*C3*D3</f>
        <v>27887.499999999996</v>
      </c>
    </row>
    <row r="4" spans="1:5" ht="12.75">
      <c r="A4" s="65" t="s">
        <v>76</v>
      </c>
      <c r="B4" s="19">
        <v>15000</v>
      </c>
      <c r="C4" s="38">
        <v>1.02</v>
      </c>
      <c r="D4" s="64">
        <f>D3</f>
        <v>1.15</v>
      </c>
      <c r="E4" s="49">
        <f>B4*C4*D4</f>
        <v>17595</v>
      </c>
    </row>
    <row r="5" spans="1:5" ht="12.75" hidden="1">
      <c r="A5" s="22" t="str">
        <f>IF(A4="Råvarer","Arbejdsløn","-")</f>
        <v>-</v>
      </c>
      <c r="B5" s="19">
        <v>0</v>
      </c>
      <c r="C5" s="38">
        <v>0</v>
      </c>
      <c r="D5" s="64">
        <f>IF(A5="arbejdsløn",D4,0)</f>
        <v>0</v>
      </c>
      <c r="E5" s="49">
        <f>B5*C5*D5</f>
        <v>0</v>
      </c>
    </row>
    <row r="6" spans="1:5" ht="12.75" hidden="1">
      <c r="A6" s="35" t="s">
        <v>26</v>
      </c>
      <c r="B6" s="37">
        <f>B3-B4-B5</f>
        <v>10000</v>
      </c>
      <c r="C6" s="39"/>
      <c r="D6" s="39"/>
      <c r="E6" s="50">
        <f>E3-E5-E4</f>
        <v>10292.499999999996</v>
      </c>
    </row>
    <row r="7" spans="1:5" ht="12.75" hidden="1">
      <c r="A7" s="22" t="s">
        <v>27</v>
      </c>
      <c r="B7" s="19">
        <v>0</v>
      </c>
      <c r="C7" s="38">
        <v>1</v>
      </c>
      <c r="D7" s="40"/>
      <c r="E7" s="49">
        <f>B7*C7</f>
        <v>0</v>
      </c>
    </row>
    <row r="8" spans="1:5" ht="12.75">
      <c r="A8" s="35" t="s">
        <v>28</v>
      </c>
      <c r="B8" s="37">
        <f>B6-B7</f>
        <v>10000</v>
      </c>
      <c r="C8" s="39"/>
      <c r="D8" s="39"/>
      <c r="E8" s="50">
        <f>E6-E7</f>
        <v>10292.499999999996</v>
      </c>
    </row>
    <row r="9" spans="1:5" ht="12.75">
      <c r="A9" s="22" t="s">
        <v>29</v>
      </c>
      <c r="B9" s="19">
        <v>0</v>
      </c>
      <c r="C9" s="38">
        <v>1</v>
      </c>
      <c r="D9" s="40"/>
      <c r="E9" s="49">
        <v>150</v>
      </c>
    </row>
    <row r="10" spans="1:5" ht="12.75">
      <c r="A10" s="35" t="s">
        <v>34</v>
      </c>
      <c r="B10" s="37">
        <f>B8-B9</f>
        <v>10000</v>
      </c>
      <c r="C10" s="39"/>
      <c r="D10" s="39"/>
      <c r="E10" s="50">
        <f>E8-E9</f>
        <v>10142.499999999996</v>
      </c>
    </row>
    <row r="11" spans="1:5" ht="12.75">
      <c r="A11" s="22" t="s">
        <v>30</v>
      </c>
      <c r="B11" s="19">
        <v>7900</v>
      </c>
      <c r="C11" s="38">
        <v>1</v>
      </c>
      <c r="D11" s="40"/>
      <c r="E11" s="49">
        <f>B11*C11</f>
        <v>7900</v>
      </c>
    </row>
    <row r="12" spans="1:5" ht="12.75" hidden="1">
      <c r="A12" s="22" t="s">
        <v>31</v>
      </c>
      <c r="B12" s="19">
        <v>0</v>
      </c>
      <c r="C12" s="38">
        <v>1</v>
      </c>
      <c r="D12" s="40"/>
      <c r="E12" s="49">
        <f>B12*C12</f>
        <v>0</v>
      </c>
    </row>
    <row r="13" spans="1:5" ht="12.75" hidden="1">
      <c r="A13" s="22" t="s">
        <v>32</v>
      </c>
      <c r="B13" s="19">
        <v>0</v>
      </c>
      <c r="C13" s="38">
        <v>1</v>
      </c>
      <c r="D13" s="40"/>
      <c r="E13" s="49">
        <f>B13*C13</f>
        <v>0</v>
      </c>
    </row>
    <row r="14" spans="1:5" ht="12.75" hidden="1">
      <c r="A14" s="22"/>
      <c r="B14" s="19">
        <v>0</v>
      </c>
      <c r="C14" s="38"/>
      <c r="D14" s="40"/>
      <c r="E14" s="49"/>
    </row>
    <row r="15" spans="1:5" ht="12.75" hidden="1">
      <c r="A15" s="22" t="s">
        <v>33</v>
      </c>
      <c r="B15" s="19">
        <v>0</v>
      </c>
      <c r="C15" s="38">
        <v>1</v>
      </c>
      <c r="D15" s="40"/>
      <c r="E15" s="49">
        <f>B15*C15</f>
        <v>0</v>
      </c>
    </row>
    <row r="16" spans="1:5" ht="12.75">
      <c r="A16" s="35" t="s">
        <v>18</v>
      </c>
      <c r="B16" s="37">
        <f>B10-SUM(B11:B15)</f>
        <v>2100</v>
      </c>
      <c r="C16" s="37"/>
      <c r="D16" s="37"/>
      <c r="E16" s="50">
        <f>E10-SUM(E11:E15)</f>
        <v>2242.4999999999964</v>
      </c>
    </row>
    <row r="17" spans="1:5" ht="12.75">
      <c r="A17" s="22" t="s">
        <v>35</v>
      </c>
      <c r="B17" s="19">
        <v>0</v>
      </c>
      <c r="C17" s="38">
        <v>0</v>
      </c>
      <c r="D17" s="40"/>
      <c r="E17" s="49">
        <v>310</v>
      </c>
    </row>
    <row r="18" spans="1:5" ht="13.5" thickBot="1">
      <c r="A18" s="109" t="s">
        <v>36</v>
      </c>
      <c r="B18" s="110">
        <f>B16-B17</f>
        <v>2100</v>
      </c>
      <c r="C18" s="111"/>
      <c r="D18" s="111"/>
      <c r="E18" s="112">
        <f>E16-E17</f>
        <v>1932.4999999999964</v>
      </c>
    </row>
    <row r="19" spans="1:5" ht="12.75">
      <c r="A19" s="22" t="s">
        <v>8</v>
      </c>
      <c r="B19" s="19">
        <v>0</v>
      </c>
      <c r="C19" s="38">
        <v>1</v>
      </c>
      <c r="D19" s="40"/>
      <c r="E19" s="49">
        <f>B19*C19</f>
        <v>0</v>
      </c>
    </row>
    <row r="20" spans="1:5" ht="12.75">
      <c r="A20" s="22" t="s">
        <v>6</v>
      </c>
      <c r="B20" s="19">
        <v>0</v>
      </c>
      <c r="C20" s="38">
        <v>1</v>
      </c>
      <c r="D20" s="40"/>
      <c r="E20" s="49">
        <f>B20*C20</f>
        <v>0</v>
      </c>
    </row>
    <row r="21" spans="1:5" ht="12.75">
      <c r="A21" s="35" t="s">
        <v>42</v>
      </c>
      <c r="B21" s="21">
        <f>B18-B19+B20</f>
        <v>2100</v>
      </c>
      <c r="C21" s="41"/>
      <c r="D21" s="41"/>
      <c r="E21" s="51">
        <f>E18-E19+E20</f>
        <v>1932.4999999999964</v>
      </c>
    </row>
    <row r="22" spans="1:5" ht="12.75">
      <c r="A22" s="22" t="s">
        <v>38</v>
      </c>
      <c r="B22" s="19">
        <v>0</v>
      </c>
      <c r="C22" s="38">
        <v>0</v>
      </c>
      <c r="D22" s="40"/>
      <c r="E22" s="49">
        <f>B22*C22</f>
        <v>0</v>
      </c>
    </row>
    <row r="23" spans="1:5" ht="12.75">
      <c r="A23" s="35" t="s">
        <v>37</v>
      </c>
      <c r="B23" s="21">
        <f>B21-B22</f>
        <v>2100</v>
      </c>
      <c r="C23" s="41"/>
      <c r="D23" s="41"/>
      <c r="E23" s="51">
        <f>E21-E22</f>
        <v>1932.4999999999964</v>
      </c>
    </row>
    <row r="24" spans="1:5" ht="12.75">
      <c r="A24" s="22" t="s">
        <v>9</v>
      </c>
      <c r="B24" s="44">
        <v>0</v>
      </c>
      <c r="C24" s="43"/>
      <c r="D24" s="42">
        <v>0</v>
      </c>
      <c r="E24" s="51">
        <f>E23*D24</f>
        <v>0</v>
      </c>
    </row>
    <row r="25" spans="1:5" ht="13.5" thickBot="1">
      <c r="A25" s="36" t="s">
        <v>39</v>
      </c>
      <c r="B25" s="52">
        <f>B23-B24</f>
        <v>2100</v>
      </c>
      <c r="C25" s="33"/>
      <c r="D25" s="33"/>
      <c r="E25" s="53">
        <f>E23-E24</f>
        <v>1932.4999999999964</v>
      </c>
    </row>
    <row r="26" ht="13.5" thickTop="1"/>
    <row r="27" ht="12.75" hidden="1">
      <c r="A27" s="10" t="s">
        <v>70</v>
      </c>
    </row>
    <row r="28" spans="1:5" ht="12.75" hidden="1">
      <c r="A28" t="s">
        <v>63</v>
      </c>
      <c r="B28" s="11">
        <v>0</v>
      </c>
      <c r="E28" s="11">
        <v>0</v>
      </c>
    </row>
    <row r="29" spans="1:5" ht="12.75" hidden="1">
      <c r="A29" s="10" t="s">
        <v>71</v>
      </c>
      <c r="B29" s="11">
        <v>0</v>
      </c>
      <c r="E29" s="11">
        <v>0</v>
      </c>
    </row>
    <row r="30" spans="2:5" ht="12.75" hidden="1">
      <c r="B30" s="25">
        <f>SUM(B28:B29)</f>
        <v>0</v>
      </c>
      <c r="E30" s="80">
        <f>SUM(E28:E29)</f>
        <v>0</v>
      </c>
    </row>
    <row r="31" spans="1:5" ht="12.75" hidden="1">
      <c r="A31" s="10"/>
      <c r="E31" s="75"/>
    </row>
    <row r="32" spans="1:5" ht="12.75" hidden="1">
      <c r="A32" s="10"/>
      <c r="E32" s="75"/>
    </row>
    <row r="33" spans="2:5" ht="12.75" hidden="1">
      <c r="B33" t="str">
        <f>B2</f>
        <v>20x8 før ændring</v>
      </c>
      <c r="C33" s="527" t="s">
        <v>23</v>
      </c>
      <c r="D33" s="527"/>
      <c r="E33" t="e">
        <f>B33+1</f>
        <v>#VALUE!</v>
      </c>
    </row>
    <row r="34" spans="1:5" ht="12.75" hidden="1">
      <c r="A34" t="s">
        <v>13</v>
      </c>
      <c r="B34" s="74">
        <v>0</v>
      </c>
      <c r="C34" s="528">
        <v>0</v>
      </c>
      <c r="D34" s="528"/>
      <c r="E34" s="77">
        <f>B34+C34</f>
        <v>0</v>
      </c>
    </row>
    <row r="36" spans="1:4" ht="12.75">
      <c r="A36" s="100" t="s">
        <v>82</v>
      </c>
      <c r="B36" s="101" t="str">
        <f>IF(C36&gt;0,"incl. moms","excl. moms")</f>
        <v>excl. moms</v>
      </c>
      <c r="C36" s="529">
        <v>0</v>
      </c>
      <c r="D36" s="530"/>
    </row>
    <row r="38" spans="1:4" ht="12.75" hidden="1">
      <c r="A38" s="10" t="s">
        <v>72</v>
      </c>
      <c r="C38" s="526">
        <v>0</v>
      </c>
      <c r="D38" s="526"/>
    </row>
  </sheetData>
  <mergeCells count="5">
    <mergeCell ref="A1:E1"/>
    <mergeCell ref="C38:D38"/>
    <mergeCell ref="C33:D33"/>
    <mergeCell ref="C34:D34"/>
    <mergeCell ref="C36:D36"/>
  </mergeCells>
  <printOptions/>
  <pageMargins left="0.5905511811023623" right="0.3937007874015748" top="0.984251968503937" bottom="0.984251968503937" header="0" footer="0"/>
  <pageSetup horizontalDpi="600" verticalDpi="600" orientation="portrait" paperSize="9" scale="118" r:id="rId3"/>
  <legacyDrawing r:id="rId2"/>
</worksheet>
</file>

<file path=xl/worksheets/sheet15.xml><?xml version="1.0" encoding="utf-8"?>
<worksheet xmlns="http://schemas.openxmlformats.org/spreadsheetml/2006/main" xmlns:r="http://schemas.openxmlformats.org/officeDocument/2006/relationships">
  <dimension ref="A1:K46"/>
  <sheetViews>
    <sheetView workbookViewId="0" topLeftCell="A7">
      <selection activeCell="G42" sqref="G42"/>
    </sheetView>
  </sheetViews>
  <sheetFormatPr defaultColWidth="9.140625" defaultRowHeight="12.75"/>
  <cols>
    <col min="1" max="1" width="22.7109375" style="0" customWidth="1"/>
    <col min="2" max="2" width="11.28125" style="0" customWidth="1"/>
    <col min="3" max="3" width="10.421875" style="0" customWidth="1"/>
    <col min="4" max="4" width="9.8515625" style="0" customWidth="1"/>
    <col min="5" max="5" width="11.57421875" style="0" customWidth="1"/>
    <col min="6" max="6" width="21.7109375" style="0" customWidth="1"/>
    <col min="7" max="7" width="14.57421875" style="0" customWidth="1"/>
    <col min="9" max="9" width="13.140625" style="0" customWidth="1"/>
  </cols>
  <sheetData>
    <row r="1" spans="1:9" ht="23.25">
      <c r="A1" s="531" t="s">
        <v>81</v>
      </c>
      <c r="B1" s="530"/>
      <c r="C1" s="530"/>
      <c r="D1" s="530"/>
      <c r="E1" s="530"/>
      <c r="F1" s="530"/>
      <c r="G1" s="530"/>
      <c r="H1" s="530"/>
      <c r="I1" s="530"/>
    </row>
    <row r="2" spans="1:9" ht="13.5" thickBot="1">
      <c r="A2" t="s">
        <v>43</v>
      </c>
      <c r="B2" t="str">
        <f>CONCATENATE("31/12-",'opgave 5 Resultatbudget'!B2)</f>
        <v>31/12-20x8 før ændring</v>
      </c>
      <c r="E2" t="str">
        <f>CONCATENATE("31/12-","20x8")</f>
        <v>31/12-20x8</v>
      </c>
      <c r="F2" t="s">
        <v>47</v>
      </c>
      <c r="G2" t="str">
        <f>B2</f>
        <v>31/12-20x8 før ændring</v>
      </c>
      <c r="H2" t="s">
        <v>23</v>
      </c>
      <c r="I2" t="str">
        <f>E2</f>
        <v>31/12-20x8</v>
      </c>
    </row>
    <row r="3" spans="1:9" ht="12.75">
      <c r="A3" s="26" t="s">
        <v>67</v>
      </c>
      <c r="B3" s="28"/>
      <c r="C3" s="28" t="s">
        <v>45</v>
      </c>
      <c r="D3" s="27" t="s">
        <v>46</v>
      </c>
      <c r="E3" s="55"/>
      <c r="F3" s="16" t="s">
        <v>68</v>
      </c>
      <c r="G3" s="56"/>
      <c r="H3" s="56"/>
      <c r="I3" s="57"/>
    </row>
    <row r="4" spans="1:9" ht="12.75">
      <c r="A4" s="22" t="s">
        <v>44</v>
      </c>
      <c r="B4" s="19">
        <v>0</v>
      </c>
      <c r="C4" s="19">
        <v>0</v>
      </c>
      <c r="D4" s="23">
        <f>'opgave 5 Resultatbudget'!E17</f>
        <v>310</v>
      </c>
      <c r="E4" s="30">
        <f>B4+C4-D4</f>
        <v>-310</v>
      </c>
      <c r="F4" s="61" t="str">
        <f>IF('opgave 5 Resultatbudget'!B30&gt;0,"Aktiekapital","Primo")</f>
        <v>Primo</v>
      </c>
      <c r="G4" s="95">
        <v>0</v>
      </c>
      <c r="H4" s="96">
        <f>'opgave 5 Resultatbudget'!C38</f>
        <v>0</v>
      </c>
      <c r="I4" s="99">
        <f>IF(F4="Aktiekapital",G4+H4,G7)</f>
        <v>0</v>
      </c>
    </row>
    <row r="5" spans="1:9" ht="12.75">
      <c r="A5" s="12" t="s">
        <v>48</v>
      </c>
      <c r="B5" s="19">
        <v>0</v>
      </c>
      <c r="C5" s="19">
        <v>0</v>
      </c>
      <c r="D5" s="23"/>
      <c r="E5" s="30">
        <f>B5+C5</f>
        <v>0</v>
      </c>
      <c r="F5" s="58" t="str">
        <f>IF('opgave 5 Resultatbudget'!B30&gt;0,'opgave 5 Resultatbudget'!A29,"åretsresultat")</f>
        <v>åretsresultat</v>
      </c>
      <c r="G5" s="107">
        <v>0</v>
      </c>
      <c r="H5" s="30">
        <f>IF(F4="Aktiekapital",'opgave 5 Resultatbudget'!E29,0)</f>
        <v>0</v>
      </c>
      <c r="I5" s="20">
        <f>IF(F4="aktiekapital",G5+H5,'opgave 5 Resultatbudget'!E25)</f>
        <v>1932.4999999999964</v>
      </c>
    </row>
    <row r="6" spans="1:9" ht="12.75">
      <c r="A6" s="12"/>
      <c r="B6" s="19">
        <v>0</v>
      </c>
      <c r="C6" s="19">
        <v>0</v>
      </c>
      <c r="D6" s="23"/>
      <c r="E6" s="30">
        <f aca="true" t="shared" si="0" ref="E6:E12">B6+C6</f>
        <v>0</v>
      </c>
      <c r="F6" s="58" t="str">
        <f>IF(F4="Aktiekapital","-","Privatforbrug")</f>
        <v>Privatforbrug</v>
      </c>
      <c r="G6" s="34">
        <v>0</v>
      </c>
      <c r="H6" s="30"/>
      <c r="I6" s="59">
        <v>0</v>
      </c>
    </row>
    <row r="7" spans="1:9" ht="12.75">
      <c r="A7" s="12"/>
      <c r="B7" s="19">
        <v>0</v>
      </c>
      <c r="C7" s="19">
        <v>0</v>
      </c>
      <c r="D7" s="23"/>
      <c r="E7" s="30">
        <f t="shared" si="0"/>
        <v>0</v>
      </c>
      <c r="F7" s="54" t="s">
        <v>69</v>
      </c>
      <c r="G7" s="31">
        <f>G4+G5-G6</f>
        <v>0</v>
      </c>
      <c r="H7" s="31">
        <f>H4+H5-H6</f>
        <v>0</v>
      </c>
      <c r="I7" s="24">
        <f>I4+I5-I6</f>
        <v>1932.4999999999964</v>
      </c>
    </row>
    <row r="8" spans="1:9" ht="12.75">
      <c r="A8" s="12"/>
      <c r="B8" s="19">
        <v>0</v>
      </c>
      <c r="C8" s="19">
        <v>0</v>
      </c>
      <c r="D8" s="23"/>
      <c r="E8" s="30">
        <f t="shared" si="0"/>
        <v>0</v>
      </c>
      <c r="F8" s="60" t="s">
        <v>57</v>
      </c>
      <c r="G8" s="30"/>
      <c r="H8" s="30"/>
      <c r="I8" s="20">
        <f>G8+H8</f>
        <v>0</v>
      </c>
    </row>
    <row r="9" spans="1:9" ht="12.75">
      <c r="A9" s="12" t="s">
        <v>49</v>
      </c>
      <c r="B9" s="19">
        <v>0</v>
      </c>
      <c r="C9" s="19">
        <v>0</v>
      </c>
      <c r="D9" s="23"/>
      <c r="E9" s="30">
        <f t="shared" si="0"/>
        <v>0</v>
      </c>
      <c r="F9" s="17" t="s">
        <v>58</v>
      </c>
      <c r="G9" s="30"/>
      <c r="H9" s="30"/>
      <c r="I9" s="20">
        <f>G9+H9</f>
        <v>0</v>
      </c>
    </row>
    <row r="10" spans="1:9" ht="12.75">
      <c r="A10" s="12"/>
      <c r="B10" s="19">
        <v>0</v>
      </c>
      <c r="C10" s="19">
        <v>0</v>
      </c>
      <c r="D10" s="23"/>
      <c r="E10" s="30">
        <f t="shared" si="0"/>
        <v>0</v>
      </c>
      <c r="F10" s="18" t="s">
        <v>79</v>
      </c>
      <c r="G10" s="30"/>
      <c r="H10" s="34">
        <v>0</v>
      </c>
      <c r="I10" s="20">
        <f>G10+H10</f>
        <v>0</v>
      </c>
    </row>
    <row r="11" spans="1:9" ht="12.75">
      <c r="A11" s="12"/>
      <c r="B11" s="19">
        <v>0</v>
      </c>
      <c r="C11" s="19">
        <v>0</v>
      </c>
      <c r="D11" s="23"/>
      <c r="E11" s="30">
        <f t="shared" si="0"/>
        <v>0</v>
      </c>
      <c r="F11" s="18" t="s">
        <v>77</v>
      </c>
      <c r="G11" s="34">
        <v>0</v>
      </c>
      <c r="H11" s="34">
        <v>0</v>
      </c>
      <c r="I11" s="20">
        <f>G11+H11</f>
        <v>0</v>
      </c>
    </row>
    <row r="12" spans="1:9" ht="12.75">
      <c r="A12" s="12" t="s">
        <v>50</v>
      </c>
      <c r="B12" s="19">
        <v>0</v>
      </c>
      <c r="C12" s="19">
        <v>0</v>
      </c>
      <c r="D12" s="23"/>
      <c r="E12" s="30">
        <f t="shared" si="0"/>
        <v>0</v>
      </c>
      <c r="F12" s="12" t="s">
        <v>59</v>
      </c>
      <c r="G12" s="34">
        <v>4450</v>
      </c>
      <c r="H12" s="34"/>
      <c r="I12" s="20">
        <f>G12+H12</f>
        <v>4450</v>
      </c>
    </row>
    <row r="13" spans="1:9" ht="12.75">
      <c r="A13" s="13" t="s">
        <v>51</v>
      </c>
      <c r="B13" s="14">
        <f>SUM(B4:B12)</f>
        <v>0</v>
      </c>
      <c r="C13" s="21">
        <f>SUM(C4:C12)</f>
        <v>0</v>
      </c>
      <c r="D13" s="21">
        <f>SUM(D4:D12)</f>
        <v>310</v>
      </c>
      <c r="E13" s="31">
        <f>B13+C13-D13</f>
        <v>-310</v>
      </c>
      <c r="F13" s="13" t="s">
        <v>60</v>
      </c>
      <c r="G13" s="31">
        <f>SUM(G8:G12)</f>
        <v>4450</v>
      </c>
      <c r="H13" s="31">
        <f>SUM(H8:H12)</f>
        <v>0</v>
      </c>
      <c r="I13" s="24">
        <f>SUM(I8:I12)</f>
        <v>4450</v>
      </c>
    </row>
    <row r="14" spans="1:9" ht="12.75">
      <c r="A14" s="82" t="s">
        <v>52</v>
      </c>
      <c r="B14" s="84"/>
      <c r="C14" s="536" t="s">
        <v>23</v>
      </c>
      <c r="D14" s="537"/>
      <c r="E14" s="30"/>
      <c r="F14" s="18" t="s">
        <v>61</v>
      </c>
      <c r="G14" s="30"/>
      <c r="H14" s="30"/>
      <c r="I14" s="20">
        <f aca="true" t="shared" si="1" ref="I14:I19">G14+H14</f>
        <v>0</v>
      </c>
    </row>
    <row r="15" spans="1:9" ht="12.75">
      <c r="A15" s="83" t="str">
        <f>IF('opgave 5 Resultatbudget'!A4="Råvarer","Råvererlager","Varelager")</f>
        <v>Varelager</v>
      </c>
      <c r="B15" s="19">
        <v>3402</v>
      </c>
      <c r="C15" s="536"/>
      <c r="D15" s="537"/>
      <c r="E15" s="30">
        <f>I27</f>
        <v>3519</v>
      </c>
      <c r="F15" s="12" t="s">
        <v>3</v>
      </c>
      <c r="G15" s="34">
        <v>2142</v>
      </c>
      <c r="H15" s="30"/>
      <c r="I15" s="20">
        <f>I41</f>
        <v>2214</v>
      </c>
    </row>
    <row r="16" spans="1:9" ht="12.75">
      <c r="A16" s="83" t="str">
        <f>IF('opgave 5 Resultatbudget'!A4="Råvarer","Produktion","-")</f>
        <v>-</v>
      </c>
      <c r="B16" s="85">
        <v>0</v>
      </c>
      <c r="C16" s="538"/>
      <c r="D16" s="539"/>
      <c r="E16" s="30">
        <f>IF(I30="-",0,I30)</f>
        <v>0</v>
      </c>
      <c r="F16" s="12" t="s">
        <v>59</v>
      </c>
      <c r="G16" s="34">
        <v>0</v>
      </c>
      <c r="H16" s="34"/>
      <c r="I16" s="20">
        <f t="shared" si="1"/>
        <v>0</v>
      </c>
    </row>
    <row r="17" spans="1:9" ht="12.75">
      <c r="A17" s="83" t="str">
        <f>IF('opgave 5 Resultatbudget'!A4="Råvarer","Færdigvarer","-")</f>
        <v>-</v>
      </c>
      <c r="B17" s="85">
        <v>0</v>
      </c>
      <c r="C17" s="538"/>
      <c r="D17" s="539"/>
      <c r="E17" s="30">
        <f>IF('opgave 5 Resultatbudget'!B5=0,0,I34)</f>
        <v>0</v>
      </c>
      <c r="F17" s="12" t="s">
        <v>62</v>
      </c>
      <c r="G17" s="34">
        <v>0</v>
      </c>
      <c r="H17" s="34"/>
      <c r="I17" s="20">
        <f t="shared" si="1"/>
        <v>0</v>
      </c>
    </row>
    <row r="18" spans="1:9" ht="12.75">
      <c r="A18" s="83" t="s">
        <v>2</v>
      </c>
      <c r="B18" s="19">
        <v>4590</v>
      </c>
      <c r="C18" s="538"/>
      <c r="D18" s="539"/>
      <c r="E18" s="30">
        <f>I38</f>
        <v>4647.916666666666</v>
      </c>
      <c r="F18" s="12" t="s">
        <v>20</v>
      </c>
      <c r="G18" s="34">
        <v>0</v>
      </c>
      <c r="H18" s="34"/>
      <c r="I18" s="20">
        <f t="shared" si="1"/>
        <v>0</v>
      </c>
    </row>
    <row r="19" spans="1:11" ht="12.75">
      <c r="A19" s="83" t="s">
        <v>53</v>
      </c>
      <c r="B19" s="19">
        <v>0</v>
      </c>
      <c r="C19" s="540">
        <v>0</v>
      </c>
      <c r="D19" s="541"/>
      <c r="E19" s="30">
        <f>B19+C19</f>
        <v>0</v>
      </c>
      <c r="F19" s="12" t="s">
        <v>22</v>
      </c>
      <c r="G19" s="34">
        <v>0</v>
      </c>
      <c r="H19" s="34">
        <v>0</v>
      </c>
      <c r="I19" s="20">
        <f t="shared" si="1"/>
        <v>0</v>
      </c>
      <c r="K19" s="66">
        <f>B24-G24</f>
        <v>0</v>
      </c>
    </row>
    <row r="20" spans="1:9" ht="12.75">
      <c r="A20" s="83" t="s">
        <v>54</v>
      </c>
      <c r="B20" s="19">
        <v>0</v>
      </c>
      <c r="C20" s="540">
        <v>0</v>
      </c>
      <c r="D20" s="541"/>
      <c r="E20" s="30">
        <f>B20+C20</f>
        <v>0</v>
      </c>
      <c r="F20" s="22" t="s">
        <v>78</v>
      </c>
      <c r="G20" s="34">
        <v>1400</v>
      </c>
      <c r="H20" s="34">
        <v>60</v>
      </c>
      <c r="I20" s="20">
        <f>G20+H20</f>
        <v>1460</v>
      </c>
    </row>
    <row r="21" spans="1:9" ht="12.75">
      <c r="A21" s="83" t="s">
        <v>80</v>
      </c>
      <c r="B21" s="19">
        <v>0</v>
      </c>
      <c r="C21" s="540">
        <v>0</v>
      </c>
      <c r="D21" s="541"/>
      <c r="E21" s="30">
        <f>B21+C21</f>
        <v>0</v>
      </c>
      <c r="F21" s="18" t="str">
        <f>IF('opgave 5 Resultatbudget'!E28&gt;0,"Udbytte","-")</f>
        <v>-</v>
      </c>
      <c r="G21" s="79">
        <f>'opgave 5 Resultatbudget'!B28</f>
        <v>0</v>
      </c>
      <c r="H21" s="30"/>
      <c r="I21" s="20">
        <f>'opgave 5 Resultatbudget'!E28</f>
        <v>0</v>
      </c>
    </row>
    <row r="22" spans="1:9" ht="12.75">
      <c r="A22" s="83" t="s">
        <v>66</v>
      </c>
      <c r="B22" s="19">
        <v>0</v>
      </c>
      <c r="C22" s="538"/>
      <c r="D22" s="539"/>
      <c r="E22" s="30">
        <f>IF('opgave 5 Likviditetsbudget'!F40&gt;0,'opgave 5 Likviditetsbudget'!F40,0)</f>
        <v>2199.5833333333303</v>
      </c>
      <c r="F22" s="22" t="str">
        <f>(IF('opgave 5 Resultatbudget'!B34&gt;0,"Kassekredit","-"))</f>
        <v>-</v>
      </c>
      <c r="G22" s="34">
        <v>0</v>
      </c>
      <c r="H22" s="30">
        <f>IF('opgave 5 Likviditetsbudget'!F40&lt;0,'opgave 5 Likviditetsbudget'!F40*-1+'opgave 5 Resultatbudget'!E34-'opgave 5 Balance'!G22,0)</f>
        <v>0</v>
      </c>
      <c r="I22" s="20">
        <f>IF('opgave 5 Likviditetsbudget'!F40&gt;=0,'opgave 5 Resultatbudget'!E34,'opgave 5 Likviditetsbudget'!F40*-1+'opgave 5 Resultatbudget'!E34)</f>
        <v>0</v>
      </c>
    </row>
    <row r="23" spans="1:9" ht="12.75">
      <c r="A23" s="61" t="s">
        <v>55</v>
      </c>
      <c r="B23" s="62">
        <f>SUM(B15:B22)</f>
        <v>7992</v>
      </c>
      <c r="C23" s="536"/>
      <c r="D23" s="537"/>
      <c r="E23" s="97">
        <f>SUM(E15:E22)</f>
        <v>10366.499999999996</v>
      </c>
      <c r="F23" s="93" t="s">
        <v>64</v>
      </c>
      <c r="G23" s="81">
        <f>SUM(G14:G22)</f>
        <v>3542</v>
      </c>
      <c r="H23" s="81">
        <f>SUM(H14:H22)</f>
        <v>60</v>
      </c>
      <c r="I23" s="94">
        <f>SUM(I14:I22)</f>
        <v>3674</v>
      </c>
    </row>
    <row r="24" spans="1:9" ht="13.5" thickBot="1">
      <c r="A24" s="15" t="s">
        <v>56</v>
      </c>
      <c r="B24" s="63">
        <f>SUM(B13:B22)</f>
        <v>7992</v>
      </c>
      <c r="C24" s="532"/>
      <c r="D24" s="533"/>
      <c r="E24" s="98">
        <f>SUM(E23+E13)</f>
        <v>10056.499999999996</v>
      </c>
      <c r="F24" s="15" t="s">
        <v>65</v>
      </c>
      <c r="G24" s="72">
        <f>SUM(G23+G13+G7)</f>
        <v>7992</v>
      </c>
      <c r="H24" s="32"/>
      <c r="I24" s="86">
        <f>SUM(I23+I13+I7)</f>
        <v>10056.499999999996</v>
      </c>
    </row>
    <row r="25" spans="1:9" ht="13.5" thickTop="1">
      <c r="A25" s="102"/>
      <c r="B25" s="103"/>
      <c r="C25" s="104"/>
      <c r="D25" s="105"/>
      <c r="E25" s="103"/>
      <c r="F25" s="102"/>
      <c r="G25" s="106"/>
      <c r="H25" s="30"/>
      <c r="I25" s="106"/>
    </row>
    <row r="26" spans="1:8" ht="12.75">
      <c r="A26" s="10" t="s">
        <v>73</v>
      </c>
      <c r="B26" s="535" t="s">
        <v>74</v>
      </c>
      <c r="C26" s="535"/>
      <c r="E26" t="str">
        <f>'opgave 5 Resultatbudget'!B2</f>
        <v>20x8 før ændring</v>
      </c>
      <c r="H26" t="s">
        <v>83</v>
      </c>
    </row>
    <row r="27" spans="2:9" ht="13.5" thickBot="1">
      <c r="B27" s="534" t="str">
        <f>'opgave 5 Resultatbudget'!A4</f>
        <v>Vareforbrug</v>
      </c>
      <c r="C27" s="534"/>
      <c r="E27" s="69">
        <f>'opgave 5 Resultatbudget'!B4</f>
        <v>15000</v>
      </c>
      <c r="F27" s="67" t="str">
        <f>CONCATENATE("=",ROUND((E27/E28),2),"  ","gange")</f>
        <v>=4,41  gange</v>
      </c>
      <c r="H27" s="69">
        <f>'opgave 5 Resultatbudget'!E4</f>
        <v>17595</v>
      </c>
      <c r="I27" s="68">
        <f>H27/H28</f>
        <v>3519</v>
      </c>
    </row>
    <row r="28" spans="1:9" ht="12.75">
      <c r="A28" s="10" t="str">
        <f>A15</f>
        <v>Varelager</v>
      </c>
      <c r="B28" s="530" t="str">
        <f>A28</f>
        <v>Varelager</v>
      </c>
      <c r="C28" s="530"/>
      <c r="E28" s="66">
        <f>B15</f>
        <v>3402</v>
      </c>
      <c r="F28" s="67"/>
      <c r="H28" s="68">
        <v>5</v>
      </c>
      <c r="I28" s="68"/>
    </row>
    <row r="29" spans="6:9" ht="12.75">
      <c r="F29" s="67"/>
      <c r="I29" s="68"/>
    </row>
    <row r="30" spans="1:9" ht="13.5" hidden="1" thickBot="1">
      <c r="A30" s="10" t="str">
        <f>A16</f>
        <v>-</v>
      </c>
      <c r="B30" s="534" t="str">
        <f>IF('opgave 5 Resultatbudget'!B5=0,"-",B31)</f>
        <v>-</v>
      </c>
      <c r="C30" s="534"/>
      <c r="E30" s="69" t="str">
        <f>IF('opgave 5 Resultatbudget'!B5=0,"-",E31)</f>
        <v>-</v>
      </c>
      <c r="F30" s="67" t="str">
        <f>IF('opgave 5 Resultatbudget'!B5=0,"-",F31)</f>
        <v>-</v>
      </c>
      <c r="H30" s="69" t="str">
        <f>IF('opgave 5 Resultatbudget'!B5=0,"-",'opgave 5 Resultatbudget'!E4+'opgave 5 Resultatbudget'!E5)</f>
        <v>-</v>
      </c>
      <c r="I30" s="68" t="str">
        <f>IF('opgave 5 Resultatbudget'!B5=0,"-",H31/H32)</f>
        <v>-</v>
      </c>
    </row>
    <row r="31" spans="1:9" ht="13.5" hidden="1" thickBot="1">
      <c r="A31" t="str">
        <f>A16</f>
        <v>-</v>
      </c>
      <c r="B31" s="534" t="str">
        <f>CONCATENATE('opgave 5 Resultatbudget'!A4,"+",'opgave 5 Resultatbudget'!A5)</f>
        <v>Vareforbrug+-</v>
      </c>
      <c r="C31" s="534"/>
      <c r="E31" s="69">
        <f>'opgave 5 Resultatbudget'!B4+'opgave 5 Resultatbudget'!B5</f>
        <v>15000</v>
      </c>
      <c r="F31" s="67" t="e">
        <f>CONCATENATE("=",ROUND((E31/E32),2),"gange")</f>
        <v>#VALUE!</v>
      </c>
      <c r="H31">
        <f>'opgave 5 Resultatbudget'!E4+'opgave 5 Resultatbudget'!E5</f>
        <v>17595</v>
      </c>
      <c r="I31" s="68" t="e">
        <f>H31/H32</f>
        <v>#VALUE!</v>
      </c>
    </row>
    <row r="32" spans="2:9" ht="12.75" hidden="1">
      <c r="B32" s="530" t="str">
        <f>A16</f>
        <v>-</v>
      </c>
      <c r="C32" s="530"/>
      <c r="E32" t="str">
        <f>IF('opgave 5 Resultatbudget'!B5=0,"-",B16)</f>
        <v>-</v>
      </c>
      <c r="F32" s="67"/>
      <c r="H32" t="str">
        <f>IF('opgave 5 Resultatbudget'!B5=0,"-",E31/E32)</f>
        <v>-</v>
      </c>
      <c r="I32" s="68"/>
    </row>
    <row r="33" spans="6:9" ht="12.75" hidden="1">
      <c r="F33" s="67"/>
      <c r="I33" s="68"/>
    </row>
    <row r="34" spans="1:9" ht="13.5" hidden="1" thickBot="1">
      <c r="A34" s="10" t="str">
        <f>A17</f>
        <v>-</v>
      </c>
      <c r="B34" s="534" t="str">
        <f>IF('opgave 5 Resultatbudget'!B5=0,"-",B35)</f>
        <v>-</v>
      </c>
      <c r="C34" s="534"/>
      <c r="E34" s="69" t="str">
        <f>IF('opgave 5 Resultatbudget'!B5=0,"-",'opgave 5 Resultatbudget'!B4+'opgave 5 Resultatbudget'!B5)</f>
        <v>-</v>
      </c>
      <c r="F34" s="67" t="str">
        <f>IF(E34="-","-",F35)</f>
        <v>-</v>
      </c>
      <c r="H34" s="69" t="str">
        <f>IF('opgave 5 Resultatbudget'!B5=0,"-",'opgave 5 Resultatbudget'!E4+'opgave 5 Resultatbudget'!E5)</f>
        <v>-</v>
      </c>
      <c r="I34" s="68" t="str">
        <f>IF(E36="-","-",H35/H36)</f>
        <v>-</v>
      </c>
    </row>
    <row r="35" spans="1:9" ht="13.5" hidden="1" thickBot="1">
      <c r="A35" t="str">
        <f>A17</f>
        <v>-</v>
      </c>
      <c r="B35" s="534" t="str">
        <f>CONCATENATE('opgave 5 Resultatbudget'!A4,"+",'opgave 5 Resultatbudget'!A5)</f>
        <v>Vareforbrug+-</v>
      </c>
      <c r="C35" s="534"/>
      <c r="E35">
        <f>E31</f>
        <v>15000</v>
      </c>
      <c r="F35" s="67" t="e">
        <f>CONCATENATE("=",ROUND((E35/E36),2),"gange")</f>
        <v>#VALUE!</v>
      </c>
      <c r="H35">
        <f>'opgave 5 Resultatbudget'!E4+'opgave 5 Resultatbudget'!E5</f>
        <v>17595</v>
      </c>
      <c r="I35" s="68" t="e">
        <f>H35/H36</f>
        <v>#VALUE!</v>
      </c>
    </row>
    <row r="36" spans="2:8" ht="12.75" hidden="1">
      <c r="B36" s="530" t="str">
        <f>IF('opgave 5 Resultatbudget'!B5=0,"-",A35)</f>
        <v>-</v>
      </c>
      <c r="C36" s="530"/>
      <c r="E36" t="str">
        <f>IF(B17=0,"-",B17)</f>
        <v>-</v>
      </c>
      <c r="H36" t="str">
        <f>IF(E36="-","-",E35/E36)</f>
        <v>-</v>
      </c>
    </row>
    <row r="37" spans="2:8" ht="12.75" hidden="1">
      <c r="B37" s="87"/>
      <c r="C37" s="87"/>
      <c r="D37" s="87"/>
      <c r="E37" s="87"/>
      <c r="H37" s="87"/>
    </row>
    <row r="38" spans="1:9" ht="13.5" thickBot="1">
      <c r="A38" s="10" t="str">
        <f>A18</f>
        <v>Varedebitorer</v>
      </c>
      <c r="B38" s="534" t="str">
        <f>IF('opgave 5 Resultatbudget'!B36="incl. Moms",CONCATENATE('opgave 5 Resultatbudget'!A3," * ",(1+'opgave 5 Resultatbudget'!C36)),CONCATENATE('opgave 5 Resultatbudget'!A3,"   ","excl. moms"))</f>
        <v>Omsætning   excl. moms</v>
      </c>
      <c r="C38" s="534"/>
      <c r="E38" s="69">
        <f>IF('opgave 5 Resultatbudget'!B36="incl. moms",'opgave 5 Resultatbudget'!B3*(1+'opgave 5 Resultatbudget'!C36),'opgave 5 Resultatbudget'!B3)</f>
        <v>25000</v>
      </c>
      <c r="F38" s="66" t="str">
        <f>CONCATENATE(ROUND((E38/E39),2),"  ","gange")</f>
        <v>5,45  gange</v>
      </c>
      <c r="H38" s="69">
        <f>IF('opgave 5 Resultatbudget'!B36="incl. moms",'opgave 5 Resultatbudget'!E3*1.25,'opgave 5 Resultatbudget'!E3)</f>
        <v>27887.499999999996</v>
      </c>
      <c r="I38" s="68">
        <f>H38/H39</f>
        <v>4647.916666666666</v>
      </c>
    </row>
    <row r="39" spans="2:9" ht="12.75">
      <c r="B39" s="530" t="str">
        <f>A18</f>
        <v>Varedebitorer</v>
      </c>
      <c r="C39" s="530"/>
      <c r="E39" s="66">
        <f>B18</f>
        <v>4590</v>
      </c>
      <c r="F39" s="66"/>
      <c r="H39" s="68">
        <v>6</v>
      </c>
      <c r="I39" s="68"/>
    </row>
    <row r="40" spans="2:9" ht="12.75">
      <c r="B40" s="87"/>
      <c r="C40" s="87"/>
      <c r="E40" s="87"/>
      <c r="F40" s="66"/>
      <c r="I40" s="68"/>
    </row>
    <row r="41" spans="1:9" ht="13.5" thickBot="1">
      <c r="A41" s="10" t="str">
        <f>F15</f>
        <v>Varekreditorer</v>
      </c>
      <c r="B41" s="534" t="str">
        <f>IF('opgave 5 Resultatbudget'!B36="excl. moms","Varekøb excl.. moms",CONCATENATE("Varekøb"," * ",(1+'opgave 5 Resultatbudget'!C36)))</f>
        <v>Varekøb excl.. moms</v>
      </c>
      <c r="C41" s="534"/>
      <c r="E41" s="88">
        <f>IF('opgave 5 Resultatbudget'!B36="excl. Moms",E45,E45*(1+'opgave 5 Resultatbudget'!C36))</f>
        <v>15000</v>
      </c>
      <c r="F41" s="66" t="str">
        <f>CONCATENATE(ROUND((E41/E42),2),"  ","gange")</f>
        <v>7  gange</v>
      </c>
      <c r="H41" s="69">
        <f>IF('opgave 5 Resultatbudget'!B36="excl. Moms",E46,E46*1.25)</f>
        <v>17712</v>
      </c>
      <c r="I41" s="68">
        <f>H41/H42</f>
        <v>2214</v>
      </c>
    </row>
    <row r="42" spans="2:8" ht="12.75">
      <c r="B42" s="530" t="str">
        <f>F15</f>
        <v>Varekreditorer</v>
      </c>
      <c r="C42" s="530"/>
      <c r="E42" s="66">
        <f>G15</f>
        <v>2142</v>
      </c>
      <c r="H42" s="76">
        <v>8</v>
      </c>
    </row>
    <row r="44" spans="1:6" ht="12.75">
      <c r="A44" s="89" t="s">
        <v>75</v>
      </c>
      <c r="B44" s="10" t="str">
        <f>'opgave 5 Resultatbudget'!A4</f>
        <v>Vareforbrug</v>
      </c>
      <c r="C44" s="10" t="str">
        <f>CONCATENATE("+","  ",A15,"  ","ultimo","  "," - ",A15,"  ","primo")</f>
        <v>+  Varelager  ultimo   - Varelager  primo</v>
      </c>
      <c r="D44" s="10"/>
      <c r="E44" s="10"/>
      <c r="F44" s="10"/>
    </row>
    <row r="45" spans="1:6" ht="12.75" hidden="1">
      <c r="A45" s="70" t="str">
        <f>CONCATENATE("Varekøb"," ",'opgave 5 Resultatbudget'!B2)</f>
        <v>Varekøb 20x8 før ændring</v>
      </c>
      <c r="B45">
        <f>'opgave 5 Resultatbudget'!B4</f>
        <v>15000</v>
      </c>
      <c r="C45" t="str">
        <f>CONCATENATE("+","  ",B15)</f>
        <v>+  3402</v>
      </c>
      <c r="D45" t="str">
        <f>CONCATENATE("-","  ",B15)</f>
        <v>-  3402</v>
      </c>
      <c r="E45" s="66">
        <f>B45+B15-B15</f>
        <v>15000</v>
      </c>
      <c r="F45" t="str">
        <f>CONCATENATE("Det forudsættes at der ikke er lagerændringer fra primo"," ",'opgave 5 Resultatbudget'!B2," ","til ultimo"," ",'opgave 5 Resultatbudget'!B2)</f>
        <v>Det forudsættes at der ikke er lagerændringer fra primo 20x8 før ændring til ultimo 20x8 før ændring</v>
      </c>
    </row>
    <row r="46" spans="1:5" ht="12.75">
      <c r="A46" s="70" t="str">
        <f>CONCATENATE("Varekøb"," ","20x8")</f>
        <v>Varekøb 20x8</v>
      </c>
      <c r="B46" s="77">
        <f>'opgave 5 Resultatbudget'!E4</f>
        <v>17595</v>
      </c>
      <c r="C46" t="str">
        <f>CONCATENATE("+","  ",E15)</f>
        <v>+  3519</v>
      </c>
      <c r="D46" t="str">
        <f>CONCATENATE("-","  ",B15)</f>
        <v>-  3402</v>
      </c>
      <c r="E46" s="66">
        <f>B46+E15-B15</f>
        <v>17712</v>
      </c>
    </row>
  </sheetData>
  <mergeCells count="25">
    <mergeCell ref="B38:C38"/>
    <mergeCell ref="B39:C39"/>
    <mergeCell ref="B41:C41"/>
    <mergeCell ref="B42:C42"/>
    <mergeCell ref="C18:D18"/>
    <mergeCell ref="C19:D19"/>
    <mergeCell ref="C20:D20"/>
    <mergeCell ref="B30:C30"/>
    <mergeCell ref="C21:D21"/>
    <mergeCell ref="C22:D22"/>
    <mergeCell ref="C23:D23"/>
    <mergeCell ref="C14:D14"/>
    <mergeCell ref="C15:D15"/>
    <mergeCell ref="C16:D16"/>
    <mergeCell ref="C17:D17"/>
    <mergeCell ref="A1:I1"/>
    <mergeCell ref="B36:C36"/>
    <mergeCell ref="C24:D24"/>
    <mergeCell ref="B31:C31"/>
    <mergeCell ref="B32:C32"/>
    <mergeCell ref="B35:C35"/>
    <mergeCell ref="B26:C26"/>
    <mergeCell ref="B27:C27"/>
    <mergeCell ref="B28:C28"/>
    <mergeCell ref="B34:C34"/>
  </mergeCells>
  <printOptions/>
  <pageMargins left="0.7874015748031497" right="0.7874015748031497" top="0.1968503937007874" bottom="0.3937007874015748" header="0" footer="0"/>
  <pageSetup horizontalDpi="300" verticalDpi="300" orientation="landscape" paperSize="9" scale="95" r:id="rId3"/>
  <legacyDrawing r:id="rId2"/>
</worksheet>
</file>

<file path=xl/worksheets/sheet16.xml><?xml version="1.0" encoding="utf-8"?>
<worksheet xmlns="http://schemas.openxmlformats.org/spreadsheetml/2006/main" xmlns:r="http://schemas.openxmlformats.org/officeDocument/2006/relationships">
  <dimension ref="A1:F63"/>
  <sheetViews>
    <sheetView workbookViewId="0" topLeftCell="A1">
      <selection activeCell="E4" sqref="E4"/>
    </sheetView>
  </sheetViews>
  <sheetFormatPr defaultColWidth="9.140625" defaultRowHeight="12.75"/>
  <cols>
    <col min="1" max="1" width="11.8515625" style="0" bestFit="1" customWidth="1"/>
    <col min="2" max="2" width="18.8515625" style="0" customWidth="1"/>
    <col min="3" max="3" width="15.28125" style="0" customWidth="1"/>
    <col min="4" max="4" width="16.00390625" style="0" customWidth="1"/>
    <col min="5" max="5" width="14.421875" style="0" customWidth="1"/>
    <col min="6" max="6" width="15.7109375" style="0" customWidth="1"/>
  </cols>
  <sheetData>
    <row r="1" spans="1:6" ht="23.25">
      <c r="A1" s="531" t="s">
        <v>14</v>
      </c>
      <c r="B1" s="545"/>
      <c r="C1" s="545"/>
      <c r="D1" s="545"/>
      <c r="E1" s="545"/>
      <c r="F1" s="545"/>
    </row>
    <row r="2" spans="1:6" ht="18">
      <c r="A2" s="1" t="s">
        <v>18</v>
      </c>
      <c r="B2" s="1"/>
      <c r="C2" s="1"/>
      <c r="D2" s="1"/>
      <c r="E2" s="1"/>
      <c r="F2" s="2">
        <f>'opgave 5 Resultatbudget'!E16</f>
        <v>2242.4999999999964</v>
      </c>
    </row>
    <row r="3" spans="1:6" ht="18">
      <c r="A3" s="3" t="s">
        <v>15</v>
      </c>
      <c r="B3" s="3"/>
      <c r="C3" s="3"/>
      <c r="D3" s="6" t="s">
        <v>0</v>
      </c>
      <c r="E3" s="6" t="s">
        <v>1</v>
      </c>
      <c r="F3" s="4"/>
    </row>
    <row r="4" spans="1:6" ht="18">
      <c r="A4" s="546" t="str">
        <f>'opgave 5 Balance'!A15</f>
        <v>Varelager</v>
      </c>
      <c r="B4" s="546"/>
      <c r="C4" s="3"/>
      <c r="D4" s="4">
        <f>'opgave 5 Balance'!B15</f>
        <v>3402</v>
      </c>
      <c r="E4" s="4">
        <f>'opgave 5 Balance'!E15</f>
        <v>3519</v>
      </c>
      <c r="F4" s="4">
        <f aca="true" t="shared" si="0" ref="F4:F10">D4-E4</f>
        <v>-117</v>
      </c>
    </row>
    <row r="5" spans="1:6" ht="18" hidden="1">
      <c r="A5" s="546" t="str">
        <f>'opgave 5 Balance'!A16</f>
        <v>-</v>
      </c>
      <c r="B5" s="546"/>
      <c r="C5" s="3"/>
      <c r="D5" s="4">
        <f>'opgave 5 Balance'!B16</f>
        <v>0</v>
      </c>
      <c r="E5" s="4">
        <f>'opgave 5 Balance'!E16</f>
        <v>0</v>
      </c>
      <c r="F5" s="4">
        <f t="shared" si="0"/>
        <v>0</v>
      </c>
    </row>
    <row r="6" spans="1:6" ht="18" hidden="1">
      <c r="A6" s="546" t="str">
        <f>'opgave 5 Balance'!A17</f>
        <v>-</v>
      </c>
      <c r="B6" s="546"/>
      <c r="C6" s="3"/>
      <c r="D6" s="4">
        <f>'opgave 5 Balance'!B17</f>
        <v>0</v>
      </c>
      <c r="E6" s="4">
        <f>'opgave 5 Balance'!E17</f>
        <v>0</v>
      </c>
      <c r="F6" s="4">
        <f t="shared" si="0"/>
        <v>0</v>
      </c>
    </row>
    <row r="7" spans="1:6" ht="18">
      <c r="A7" s="546" t="str">
        <f>'opgave 5 Balance'!A18</f>
        <v>Varedebitorer</v>
      </c>
      <c r="B7" s="546"/>
      <c r="C7" s="3"/>
      <c r="D7" s="4">
        <f>'opgave 5 Balance'!B18</f>
        <v>4590</v>
      </c>
      <c r="E7" s="4">
        <f>'opgave 5 Balance'!E18</f>
        <v>4647.916666666666</v>
      </c>
      <c r="F7" s="4">
        <f t="shared" si="0"/>
        <v>-57.91666666666606</v>
      </c>
    </row>
    <row r="8" spans="1:6" ht="18" hidden="1">
      <c r="A8" s="546" t="str">
        <f>'opgave 5 Balance'!A19</f>
        <v>Periodeafg.</v>
      </c>
      <c r="B8" s="546"/>
      <c r="C8" s="3"/>
      <c r="D8" s="4">
        <f>'opgave 5 Balance'!B19</f>
        <v>0</v>
      </c>
      <c r="E8" s="4">
        <f>'opgave 5 Balance'!E19</f>
        <v>0</v>
      </c>
      <c r="F8" s="4">
        <f t="shared" si="0"/>
        <v>0</v>
      </c>
    </row>
    <row r="9" spans="1:6" ht="18" hidden="1">
      <c r="A9" s="546" t="str">
        <f>'opgave 5 Balance'!A20</f>
        <v>Værdipapirer</v>
      </c>
      <c r="B9" s="546"/>
      <c r="C9" s="3"/>
      <c r="D9" s="4">
        <f>'opgave 5 Balance'!B20</f>
        <v>0</v>
      </c>
      <c r="E9" s="4">
        <f>'opgave 5 Balance'!E20</f>
        <v>0</v>
      </c>
      <c r="F9" s="4">
        <f t="shared" si="0"/>
        <v>0</v>
      </c>
    </row>
    <row r="10" spans="1:6" ht="18" hidden="1">
      <c r="A10" s="546" t="str">
        <f>'opgave 5 Balance'!A21</f>
        <v>Andre debitorer</v>
      </c>
      <c r="B10" s="546"/>
      <c r="C10" s="3"/>
      <c r="D10" s="4">
        <f>'opgave 5 Balance'!B21</f>
        <v>0</v>
      </c>
      <c r="E10" s="4">
        <f>'opgave 5 Balance'!E21</f>
        <v>0</v>
      </c>
      <c r="F10" s="4">
        <f t="shared" si="0"/>
        <v>0</v>
      </c>
    </row>
    <row r="11" spans="1:6" ht="18">
      <c r="A11" s="3" t="s">
        <v>19</v>
      </c>
      <c r="B11" s="3"/>
      <c r="C11" s="3"/>
      <c r="D11" s="4"/>
      <c r="E11" s="4"/>
      <c r="F11" s="4"/>
    </row>
    <row r="12" spans="1:6" ht="18">
      <c r="A12" s="546" t="str">
        <f>'opgave 5 Balance'!F15</f>
        <v>Varekreditorer</v>
      </c>
      <c r="B12" s="546"/>
      <c r="C12" s="3"/>
      <c r="D12" s="4">
        <f>'opgave 5 Balance'!G15</f>
        <v>2142</v>
      </c>
      <c r="E12" s="4">
        <f>'opgave 5 Balance'!I15</f>
        <v>2214</v>
      </c>
      <c r="F12" s="4">
        <f aca="true" t="shared" si="1" ref="F12:F17">E12-D12</f>
        <v>72</v>
      </c>
    </row>
    <row r="13" spans="1:6" ht="18" hidden="1">
      <c r="A13" s="546" t="str">
        <f>'opgave 5 Balance'!F16</f>
        <v>Realkreditinstitutter</v>
      </c>
      <c r="B13" s="546"/>
      <c r="C13" s="3"/>
      <c r="D13" s="4">
        <f>'opgave 5 Balance'!G16</f>
        <v>0</v>
      </c>
      <c r="E13" s="4">
        <f>'opgave 5 Balance'!I16</f>
        <v>0</v>
      </c>
      <c r="F13" s="4">
        <f t="shared" si="1"/>
        <v>0</v>
      </c>
    </row>
    <row r="14" spans="1:6" ht="18" hidden="1">
      <c r="A14" s="546" t="str">
        <f>'opgave 5 Balance'!F17</f>
        <v>Forudbetalinger</v>
      </c>
      <c r="B14" s="546"/>
      <c r="C14" s="3"/>
      <c r="D14" s="4">
        <f>'opgave 5 Balance'!G17</f>
        <v>0</v>
      </c>
      <c r="E14" s="4">
        <f>'opgave 5 Balance'!I17</f>
        <v>0</v>
      </c>
      <c r="F14" s="4">
        <f t="shared" si="1"/>
        <v>0</v>
      </c>
    </row>
    <row r="15" spans="1:6" ht="18" hidden="1">
      <c r="A15" s="546" t="str">
        <f>'opgave 5 Balance'!F18</f>
        <v>Anden gæld</v>
      </c>
      <c r="B15" s="546"/>
      <c r="C15" s="3"/>
      <c r="D15" s="4">
        <f>'opgave 5 Balance'!G18</f>
        <v>0</v>
      </c>
      <c r="E15" s="4">
        <f>'opgave 5 Balance'!I18</f>
        <v>0</v>
      </c>
      <c r="F15" s="4">
        <f t="shared" si="1"/>
        <v>0</v>
      </c>
    </row>
    <row r="16" spans="1:6" ht="18" hidden="1">
      <c r="A16" s="546" t="str">
        <f>'opgave 5 Balance'!F19</f>
        <v>-</v>
      </c>
      <c r="B16" s="546"/>
      <c r="C16" s="3"/>
      <c r="D16" s="4">
        <f>'opgave 5 Balance'!G19</f>
        <v>0</v>
      </c>
      <c r="E16" s="4">
        <f>'opgave 5 Balance'!I19</f>
        <v>0</v>
      </c>
      <c r="F16" s="4">
        <f t="shared" si="1"/>
        <v>0</v>
      </c>
    </row>
    <row r="17" spans="1:6" ht="18">
      <c r="A17" s="546" t="str">
        <f>'opgave 5 Balance'!F20</f>
        <v>Øvrig kortfristet gæld</v>
      </c>
      <c r="B17" s="546"/>
      <c r="C17" s="3"/>
      <c r="D17" s="4">
        <f>'opgave 5 Balance'!G20</f>
        <v>1400</v>
      </c>
      <c r="E17" s="4">
        <f>'opgave 5 Balance'!I20</f>
        <v>1460</v>
      </c>
      <c r="F17" s="4">
        <f t="shared" si="1"/>
        <v>60</v>
      </c>
    </row>
    <row r="18" spans="1:6" ht="18" hidden="1">
      <c r="A18" s="71" t="str">
        <f>'opgave 5 Resultatbudget'!A19</f>
        <v>Renteomkostninger</v>
      </c>
      <c r="B18" s="71"/>
      <c r="C18" s="3"/>
      <c r="D18" s="4"/>
      <c r="E18" s="4"/>
      <c r="F18" s="4">
        <f>'opgave 5 Resultatbudget'!E19*-1</f>
        <v>0</v>
      </c>
    </row>
    <row r="19" spans="1:6" ht="18" hidden="1">
      <c r="A19" s="71" t="str">
        <f>'opgave 5 Resultatbudget'!A20</f>
        <v>Renteindtægter</v>
      </c>
      <c r="B19" s="71"/>
      <c r="C19" s="3"/>
      <c r="D19" s="4"/>
      <c r="E19" s="4"/>
      <c r="F19" s="4">
        <f>'opgave 5 Resultatbudget'!E20</f>
        <v>0</v>
      </c>
    </row>
    <row r="20" spans="1:6" ht="18">
      <c r="A20" s="1" t="s">
        <v>4</v>
      </c>
      <c r="B20" s="1"/>
      <c r="C20" s="1"/>
      <c r="D20" s="1"/>
      <c r="E20" s="1"/>
      <c r="F20" s="7">
        <f>SUM(F2:F19)</f>
        <v>2199.5833333333303</v>
      </c>
    </row>
    <row r="21" spans="1:6" ht="18" hidden="1">
      <c r="A21" s="3" t="s">
        <v>16</v>
      </c>
      <c r="B21" s="3"/>
      <c r="C21" s="3"/>
      <c r="D21" s="3"/>
      <c r="E21" s="3"/>
      <c r="F21" s="3"/>
    </row>
    <row r="22" spans="1:6" ht="18" hidden="1">
      <c r="A22" s="3" t="s">
        <v>17</v>
      </c>
      <c r="B22" s="3"/>
      <c r="C22" s="3"/>
      <c r="D22" s="3"/>
      <c r="E22" s="3"/>
      <c r="F22" s="3">
        <f>'opgave 5 Balance'!C13*-1</f>
        <v>0</v>
      </c>
    </row>
    <row r="23" spans="1:6" ht="18" hidden="1">
      <c r="A23" s="1" t="s">
        <v>5</v>
      </c>
      <c r="B23" s="3"/>
      <c r="C23" s="3"/>
      <c r="D23" s="3"/>
      <c r="E23" s="3"/>
      <c r="F23" s="3"/>
    </row>
    <row r="24" spans="1:6" ht="18" hidden="1">
      <c r="A24" s="3" t="str">
        <f>'opgave 5 Balance'!F10</f>
        <v>Nyt lån til investeringer</v>
      </c>
      <c r="B24" s="3"/>
      <c r="C24" s="3"/>
      <c r="D24" s="3"/>
      <c r="E24" s="3"/>
      <c r="F24" s="3">
        <f>'opgave 5 Balance'!H10</f>
        <v>0</v>
      </c>
    </row>
    <row r="25" spans="1:6" ht="18" hidden="1">
      <c r="A25" s="3" t="str">
        <f>'opgave 5 Resultatbudget'!A38</f>
        <v>Aktie emmision</v>
      </c>
      <c r="B25" s="3"/>
      <c r="C25" s="3"/>
      <c r="D25" s="3"/>
      <c r="E25" s="3"/>
      <c r="F25" s="3">
        <f>'opgave 5 Resultatbudget'!C38</f>
        <v>0</v>
      </c>
    </row>
    <row r="26" spans="1:6" ht="18" hidden="1">
      <c r="A26" s="1" t="s">
        <v>7</v>
      </c>
      <c r="B26" s="3"/>
      <c r="C26" s="3"/>
      <c r="D26" s="3"/>
      <c r="E26" s="3"/>
      <c r="F26" s="3"/>
    </row>
    <row r="27" spans="1:6" ht="18" hidden="1">
      <c r="A27" s="546" t="str">
        <f>'opgave 5 Balance'!F11</f>
        <v>Prioritetegæld</v>
      </c>
      <c r="B27" s="546"/>
      <c r="C27" s="3"/>
      <c r="D27" s="3"/>
      <c r="E27" s="3"/>
      <c r="F27" s="3">
        <f>'opgave 5 Balance'!H11</f>
        <v>0</v>
      </c>
    </row>
    <row r="28" spans="1:6" ht="18" hidden="1">
      <c r="A28" s="546" t="str">
        <f>'opgave 5 Balance'!F12</f>
        <v>Realkreditinstitutter</v>
      </c>
      <c r="B28" s="546"/>
      <c r="C28" s="3"/>
      <c r="D28" s="3"/>
      <c r="E28" s="3"/>
      <c r="F28" s="3">
        <f>'opgave 5 Balance'!H12</f>
        <v>0</v>
      </c>
    </row>
    <row r="29" spans="1:6" ht="18" hidden="1">
      <c r="A29" s="3" t="str">
        <f>'opgave 5 Balance'!F6</f>
        <v>Privatforbrug</v>
      </c>
      <c r="B29" s="3"/>
      <c r="C29" s="3"/>
      <c r="D29" s="3"/>
      <c r="E29" s="3"/>
      <c r="F29" s="3">
        <f>('opgave 5 Balance'!I6)*-1</f>
        <v>0</v>
      </c>
    </row>
    <row r="30" spans="1:6" ht="18" hidden="1">
      <c r="A30" s="3" t="str">
        <f>IF('opgave 5 Resultatbudget'!B28&gt;0,A47,"-")</f>
        <v>-</v>
      </c>
      <c r="B30" s="3"/>
      <c r="C30" s="3"/>
      <c r="D30" s="3"/>
      <c r="E30" s="3"/>
      <c r="F30" s="3">
        <f>'opgave 5 Balance'!G21*-1</f>
        <v>0</v>
      </c>
    </row>
    <row r="31" spans="1:6" ht="18" hidden="1">
      <c r="A31" s="3" t="str">
        <f>'opgave 5 Resultatbudget'!A24</f>
        <v>Skat</v>
      </c>
      <c r="B31" s="3"/>
      <c r="C31" s="3"/>
      <c r="D31" s="3"/>
      <c r="E31" s="3"/>
      <c r="F31" s="73">
        <f>'opgave 5 Resultatbudget'!E24*-1</f>
        <v>0</v>
      </c>
    </row>
    <row r="32" spans="1:6" ht="18" hidden="1">
      <c r="A32" s="3" t="str">
        <f>IF('opgave 5 Resultatbudget'!C34&gt;0,"Ændring af kassekredit max.","-")</f>
        <v>-</v>
      </c>
      <c r="B32" s="3"/>
      <c r="C32" s="3"/>
      <c r="D32" s="3"/>
      <c r="E32" s="3"/>
      <c r="F32" s="78">
        <f>'opgave 5 Resultatbudget'!C34</f>
        <v>0</v>
      </c>
    </row>
    <row r="33" spans="1:6" ht="18" hidden="1">
      <c r="A33" s="1" t="s">
        <v>10</v>
      </c>
      <c r="B33" s="1"/>
      <c r="C33" s="1"/>
      <c r="D33" s="1"/>
      <c r="E33" s="1"/>
      <c r="F33" s="8">
        <f>SUM(F20:F32)</f>
        <v>2199.5833333333303</v>
      </c>
    </row>
    <row r="34" spans="1:6" ht="18" hidden="1">
      <c r="A34" s="3" t="s">
        <v>12</v>
      </c>
      <c r="B34" s="3"/>
      <c r="C34" s="3"/>
      <c r="D34" s="3"/>
      <c r="E34" s="3"/>
      <c r="F34" s="3"/>
    </row>
    <row r="35" spans="1:6" ht="18" hidden="1">
      <c r="A35" s="3" t="s">
        <v>13</v>
      </c>
      <c r="B35" s="3"/>
      <c r="C35" s="3">
        <v>2000</v>
      </c>
      <c r="D35" s="3"/>
      <c r="E35" s="3"/>
      <c r="F35" s="3"/>
    </row>
    <row r="36" spans="1:6" ht="18" hidden="1">
      <c r="A36" s="3" t="s">
        <v>21</v>
      </c>
      <c r="B36" s="3"/>
      <c r="C36" s="3">
        <v>1500</v>
      </c>
      <c r="D36" s="3"/>
      <c r="E36" s="3"/>
      <c r="F36" s="3"/>
    </row>
    <row r="37" spans="1:6" ht="18" hidden="1">
      <c r="A37" s="3"/>
      <c r="B37" s="3"/>
      <c r="C37" s="3">
        <f>IF('opgave 5 Resultatbudget'!$B$34&gt;0,"Gæld Primo","")</f>
      </c>
      <c r="D37" s="3">
        <f>IF('opgave 5 Resultatbudget'!$B$34&gt;0,"Max. Primo","")</f>
      </c>
      <c r="E37" s="3"/>
      <c r="F37" s="3"/>
    </row>
    <row r="38" spans="1:6" ht="18" hidden="1">
      <c r="A38" s="3" t="str">
        <f>IF('opgave 5 Resultatbudget'!B34&gt;0,"Kassekredit disponibel","-")</f>
        <v>-</v>
      </c>
      <c r="B38" s="3"/>
      <c r="C38" s="3">
        <f>IF('opgave 5 Resultatbudget'!B34&gt;0,'opgave 5 Resultatbudget'!B34,"")</f>
      </c>
      <c r="D38" s="3">
        <f>IF('opgave 5 Resultatbudget'!B34&gt;0,'opgave 5 Balance'!G22,"")</f>
      </c>
      <c r="E38" s="3"/>
      <c r="F38" s="3">
        <f>IF('opgave 5 Resultatbudget'!B34&gt;0,C38-D38,0)</f>
        <v>0</v>
      </c>
    </row>
    <row r="39" spans="1:6" ht="18" hidden="1">
      <c r="A39" s="5" t="s">
        <v>24</v>
      </c>
      <c r="B39" s="3"/>
      <c r="C39" s="3"/>
      <c r="D39" s="3"/>
      <c r="E39" s="3"/>
      <c r="F39" s="3">
        <f>'opgave 5 Balance'!B22</f>
        <v>0</v>
      </c>
    </row>
    <row r="40" spans="1:6" ht="18.75" hidden="1" thickBot="1">
      <c r="A40" s="1" t="s">
        <v>11</v>
      </c>
      <c r="B40" s="1"/>
      <c r="C40" s="1"/>
      <c r="D40" s="1"/>
      <c r="E40" s="1"/>
      <c r="F40" s="9">
        <f>SUM(F33:F39)</f>
        <v>2199.5833333333303</v>
      </c>
    </row>
    <row r="41" spans="1:6" ht="18.75" hidden="1" thickTop="1">
      <c r="A41" s="3"/>
      <c r="B41" s="3"/>
      <c r="C41" s="3"/>
      <c r="D41" s="3"/>
      <c r="E41" s="3"/>
      <c r="F41" s="3"/>
    </row>
    <row r="42" ht="12.75" hidden="1"/>
    <row r="45" ht="18">
      <c r="A45" s="115" t="s">
        <v>85</v>
      </c>
    </row>
    <row r="46" spans="1:6" ht="39.75" customHeight="1">
      <c r="A46" s="542" t="s">
        <v>92</v>
      </c>
      <c r="B46" s="542"/>
      <c r="C46" s="542"/>
      <c r="D46" s="542"/>
      <c r="E46" s="542"/>
      <c r="F46" s="542"/>
    </row>
    <row r="47" ht="18" hidden="1">
      <c r="A47" s="3" t="str">
        <f>(CONCATENATE("Udbytte udbetales 100% fra år;""",'opgave 5 Resultatbudget'!B2))</f>
        <v>Udbytte udbetales 100% fra år;"20x8 før ændring</v>
      </c>
    </row>
    <row r="48" spans="1:3" ht="18">
      <c r="A48" s="115" t="s">
        <v>88</v>
      </c>
      <c r="B48" s="115"/>
      <c r="C48" s="119">
        <f>360/65</f>
        <v>5.538461538461538</v>
      </c>
    </row>
    <row r="49" spans="1:4" ht="12.75">
      <c r="A49" s="87"/>
      <c r="B49" s="87"/>
      <c r="C49" s="87"/>
      <c r="D49" s="87"/>
    </row>
    <row r="50" spans="1:4" ht="15" customHeight="1">
      <c r="A50" s="87"/>
      <c r="B50" s="87"/>
      <c r="C50" s="87"/>
      <c r="D50" s="87"/>
    </row>
    <row r="51" spans="1:6" ht="18.75" thickBot="1">
      <c r="A51" s="91" t="s">
        <v>87</v>
      </c>
      <c r="B51" s="113" t="s">
        <v>86</v>
      </c>
      <c r="C51" s="114"/>
      <c r="D51" s="116">
        <f>'opgave 5 Balance'!H38</f>
        <v>27887.499999999996</v>
      </c>
      <c r="E51" s="543" t="s">
        <v>89</v>
      </c>
      <c r="F51" s="544">
        <f>D51/D52</f>
        <v>5035.243055555555</v>
      </c>
    </row>
    <row r="52" spans="1:6" ht="18">
      <c r="A52" s="91"/>
      <c r="B52" s="90" t="s">
        <v>2</v>
      </c>
      <c r="C52" s="92"/>
      <c r="D52" s="119">
        <f>C48</f>
        <v>5.538461538461538</v>
      </c>
      <c r="E52" s="543"/>
      <c r="F52" s="544"/>
    </row>
    <row r="53" spans="1:6" ht="18">
      <c r="A53" s="91"/>
      <c r="B53" s="90"/>
      <c r="C53" s="92"/>
      <c r="D53" s="87"/>
      <c r="F53" s="77"/>
    </row>
    <row r="54" spans="1:6" ht="18">
      <c r="A54" s="91" t="s">
        <v>90</v>
      </c>
      <c r="B54" s="90"/>
      <c r="C54" s="92"/>
      <c r="D54" s="87"/>
      <c r="F54" s="117">
        <f>'opgave 5 Balance'!E18</f>
        <v>4647.916666666666</v>
      </c>
    </row>
    <row r="55" spans="1:6" ht="18.75" thickBot="1">
      <c r="A55" s="90" t="s">
        <v>91</v>
      </c>
      <c r="B55" s="90"/>
      <c r="C55" s="92"/>
      <c r="D55" s="87"/>
      <c r="F55" s="120">
        <f>F51-F54</f>
        <v>387.3263888888887</v>
      </c>
    </row>
    <row r="56" spans="1:4" ht="13.5" thickTop="1">
      <c r="A56" s="87"/>
      <c r="B56" s="87"/>
      <c r="C56" s="87"/>
      <c r="D56" s="87"/>
    </row>
    <row r="57" spans="1:4" ht="12.75">
      <c r="A57" s="87"/>
      <c r="B57" s="87"/>
      <c r="C57" s="87"/>
      <c r="D57" s="87"/>
    </row>
    <row r="58" spans="1:4" ht="12.75">
      <c r="A58" s="87"/>
      <c r="B58" s="87"/>
      <c r="C58" s="87"/>
      <c r="D58" s="87"/>
    </row>
    <row r="59" spans="1:4" ht="12.75">
      <c r="A59" s="87"/>
      <c r="B59" s="87"/>
      <c r="C59" s="87"/>
      <c r="D59" s="87"/>
    </row>
    <row r="60" spans="1:4" ht="12.75">
      <c r="A60" s="87"/>
      <c r="B60" s="87"/>
      <c r="C60" s="87"/>
      <c r="D60" s="87"/>
    </row>
    <row r="61" spans="1:4" ht="12.75">
      <c r="A61" s="87"/>
      <c r="B61" s="87"/>
      <c r="C61" s="87"/>
      <c r="D61" s="87"/>
    </row>
    <row r="62" spans="1:4" ht="12.75">
      <c r="A62" s="87"/>
      <c r="B62" s="87"/>
      <c r="C62" s="87"/>
      <c r="D62" s="87"/>
    </row>
    <row r="63" spans="1:4" ht="12.75">
      <c r="A63" s="87"/>
      <c r="B63" s="87"/>
      <c r="C63" s="87"/>
      <c r="D63" s="87"/>
    </row>
  </sheetData>
  <mergeCells count="19">
    <mergeCell ref="A15:B15"/>
    <mergeCell ref="A8:B8"/>
    <mergeCell ref="A9:B9"/>
    <mergeCell ref="A10:B10"/>
    <mergeCell ref="A12:B12"/>
    <mergeCell ref="A6:B6"/>
    <mergeCell ref="A7:B7"/>
    <mergeCell ref="A13:B13"/>
    <mergeCell ref="A14:B14"/>
    <mergeCell ref="A46:F46"/>
    <mergeCell ref="E51:E52"/>
    <mergeCell ref="F51:F52"/>
    <mergeCell ref="A1:F1"/>
    <mergeCell ref="A27:B27"/>
    <mergeCell ref="A28:B28"/>
    <mergeCell ref="A16:B16"/>
    <mergeCell ref="A17:B17"/>
    <mergeCell ref="A4:B4"/>
    <mergeCell ref="A5:B5"/>
  </mergeCells>
  <printOptions/>
  <pageMargins left="0.5905511811023623" right="0.5905511811023623" top="0.5905511811023623" bottom="0.3937007874015748"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L49"/>
  <sheetViews>
    <sheetView zoomScalePageLayoutView="0" workbookViewId="0" topLeftCell="A1">
      <selection activeCell="G58" sqref="G58"/>
    </sheetView>
  </sheetViews>
  <sheetFormatPr defaultColWidth="9.140625" defaultRowHeight="12.75"/>
  <cols>
    <col min="2" max="2" width="10.7109375" style="0" customWidth="1"/>
    <col min="5" max="9" width="10.8515625" style="0" customWidth="1"/>
  </cols>
  <sheetData>
    <row r="2" ht="12.75">
      <c r="A2" s="10" t="s">
        <v>210</v>
      </c>
    </row>
    <row r="3" spans="1:12" ht="12.75">
      <c r="A3" s="225"/>
      <c r="B3" s="225" t="s">
        <v>204</v>
      </c>
      <c r="C3" s="225" t="s">
        <v>211</v>
      </c>
      <c r="D3" s="225" t="s">
        <v>161</v>
      </c>
      <c r="E3" s="225" t="s">
        <v>25</v>
      </c>
      <c r="F3" s="226" t="s">
        <v>212</v>
      </c>
      <c r="G3" s="225" t="s">
        <v>163</v>
      </c>
      <c r="H3" s="225" t="s">
        <v>213</v>
      </c>
      <c r="I3" s="225" t="s">
        <v>214</v>
      </c>
      <c r="J3" s="225" t="s">
        <v>215</v>
      </c>
      <c r="K3" s="225" t="s">
        <v>216</v>
      </c>
      <c r="L3" s="225" t="s">
        <v>217</v>
      </c>
    </row>
    <row r="4" spans="1:12" ht="12.75">
      <c r="A4" t="s">
        <v>171</v>
      </c>
      <c r="B4" s="154">
        <v>800</v>
      </c>
      <c r="C4" s="154">
        <v>1200</v>
      </c>
      <c r="D4">
        <v>325</v>
      </c>
      <c r="E4" s="154">
        <f aca="true" t="shared" si="0" ref="E4:F6">SUM(B4*C4)</f>
        <v>960000</v>
      </c>
      <c r="F4" s="154">
        <f t="shared" si="0"/>
        <v>390000</v>
      </c>
      <c r="G4" s="154">
        <f>SUM(E4-F4)</f>
        <v>570000</v>
      </c>
      <c r="H4" s="154">
        <v>50000</v>
      </c>
      <c r="I4" s="154">
        <f>SUM(G4-H4)</f>
        <v>520000</v>
      </c>
      <c r="J4" s="154">
        <f>SUM(C4/3)</f>
        <v>400</v>
      </c>
      <c r="K4" s="154">
        <f>SUM(I4/J4)</f>
        <v>1300</v>
      </c>
      <c r="L4">
        <v>2</v>
      </c>
    </row>
    <row r="5" spans="1:12" ht="12.75">
      <c r="A5" t="s">
        <v>172</v>
      </c>
      <c r="B5">
        <v>780</v>
      </c>
      <c r="C5" s="154">
        <v>1800</v>
      </c>
      <c r="D5">
        <v>325</v>
      </c>
      <c r="E5" s="154">
        <f t="shared" si="0"/>
        <v>1404000</v>
      </c>
      <c r="F5" s="154">
        <f t="shared" si="0"/>
        <v>585000</v>
      </c>
      <c r="G5" s="154">
        <f>SUM(E5-F5)</f>
        <v>819000</v>
      </c>
      <c r="H5" s="154">
        <v>50000</v>
      </c>
      <c r="I5" s="154">
        <f>SUM(G5-H5)</f>
        <v>769000</v>
      </c>
      <c r="J5" s="154">
        <f>SUM(C5/3)</f>
        <v>600</v>
      </c>
      <c r="K5" s="154">
        <f>SUM((I5-I4)/(J5-J4))</f>
        <v>1245</v>
      </c>
      <c r="L5">
        <v>3</v>
      </c>
    </row>
    <row r="6" spans="1:12" ht="12.75">
      <c r="A6" t="s">
        <v>173</v>
      </c>
      <c r="B6">
        <v>760</v>
      </c>
      <c r="C6" s="154">
        <v>2400</v>
      </c>
      <c r="D6">
        <v>325</v>
      </c>
      <c r="E6" s="154">
        <f t="shared" si="0"/>
        <v>1824000</v>
      </c>
      <c r="F6" s="154">
        <f t="shared" si="0"/>
        <v>780000</v>
      </c>
      <c r="G6" s="154">
        <f>SUM(E6-F6)</f>
        <v>1044000</v>
      </c>
      <c r="H6" s="154">
        <v>50000</v>
      </c>
      <c r="I6" s="154">
        <f>SUM(G6-H6)</f>
        <v>994000</v>
      </c>
      <c r="J6" s="154">
        <f>SUM(C6/3)</f>
        <v>800</v>
      </c>
      <c r="K6" s="154">
        <f>SUM((I6-I5)/(J6-J5))</f>
        <v>1125</v>
      </c>
      <c r="L6">
        <v>5</v>
      </c>
    </row>
    <row r="7" spans="1:12" ht="12.75">
      <c r="A7" t="s">
        <v>174</v>
      </c>
      <c r="B7">
        <v>740</v>
      </c>
      <c r="C7" s="154">
        <v>2700</v>
      </c>
      <c r="D7">
        <v>325</v>
      </c>
      <c r="E7" s="154">
        <f>SUM(B7*C7)</f>
        <v>1998000</v>
      </c>
      <c r="F7" s="154">
        <f>SUM(C7*D7)</f>
        <v>877500</v>
      </c>
      <c r="G7" s="154">
        <f>SUM(E7-F7)</f>
        <v>1120500</v>
      </c>
      <c r="H7" s="154">
        <v>50000</v>
      </c>
      <c r="I7" s="154">
        <f>SUM(G7-H7)</f>
        <v>1070500</v>
      </c>
      <c r="J7" s="154">
        <f>SUM(C7/3)</f>
        <v>900</v>
      </c>
      <c r="K7" s="154">
        <f>SUM((I7-I6)/(J7-J6))</f>
        <v>765</v>
      </c>
      <c r="L7">
        <v>7</v>
      </c>
    </row>
    <row r="8" spans="1:12" ht="12.75">
      <c r="A8" t="s">
        <v>175</v>
      </c>
      <c r="B8">
        <v>720</v>
      </c>
      <c r="C8" s="154">
        <v>3000</v>
      </c>
      <c r="D8">
        <v>325</v>
      </c>
      <c r="E8" s="154">
        <f>SUM(B8*C8)</f>
        <v>2160000</v>
      </c>
      <c r="F8" s="154">
        <f>SUM(C8*D8)</f>
        <v>975000</v>
      </c>
      <c r="G8" s="154">
        <f>SUM(E8-F8)</f>
        <v>1185000</v>
      </c>
      <c r="H8" s="154">
        <v>50000</v>
      </c>
      <c r="I8" s="154">
        <f>SUM(G8-H8)</f>
        <v>1135000</v>
      </c>
      <c r="J8" s="154">
        <f>SUM(C8/3)</f>
        <v>1000</v>
      </c>
      <c r="K8" s="154">
        <f>SUM((I8-I7)/(J8-J7))</f>
        <v>645</v>
      </c>
      <c r="L8">
        <v>8</v>
      </c>
    </row>
    <row r="10" spans="1:12" ht="12.75">
      <c r="A10" s="225"/>
      <c r="B10" s="225" t="s">
        <v>204</v>
      </c>
      <c r="C10" s="225" t="s">
        <v>211</v>
      </c>
      <c r="D10" s="225" t="s">
        <v>161</v>
      </c>
      <c r="E10" s="225" t="s">
        <v>25</v>
      </c>
      <c r="F10" s="226" t="s">
        <v>212</v>
      </c>
      <c r="G10" s="225" t="s">
        <v>163</v>
      </c>
      <c r="H10" s="225" t="s">
        <v>213</v>
      </c>
      <c r="I10" s="225" t="s">
        <v>214</v>
      </c>
      <c r="J10" s="225" t="s">
        <v>215</v>
      </c>
      <c r="K10" s="225" t="s">
        <v>216</v>
      </c>
      <c r="L10" s="225" t="s">
        <v>217</v>
      </c>
    </row>
    <row r="11" spans="1:12" ht="12.75">
      <c r="A11" t="s">
        <v>183</v>
      </c>
      <c r="B11" s="154">
        <v>1000</v>
      </c>
      <c r="C11" s="154">
        <v>2500</v>
      </c>
      <c r="D11">
        <v>360</v>
      </c>
      <c r="E11" s="154">
        <f aca="true" t="shared" si="1" ref="E11:F15">SUM(B11*C11)</f>
        <v>2500000</v>
      </c>
      <c r="F11" s="154">
        <f t="shared" si="1"/>
        <v>900000</v>
      </c>
      <c r="G11" s="154">
        <f>SUM(E11-F11)</f>
        <v>1600000</v>
      </c>
      <c r="H11" s="154">
        <v>40000</v>
      </c>
      <c r="I11" s="154">
        <f>SUM(G11-H11)</f>
        <v>1560000</v>
      </c>
      <c r="J11" s="154">
        <f>SUM(C11/(60/18))</f>
        <v>750</v>
      </c>
      <c r="K11" s="154">
        <f>SUM(I11/J11)</f>
        <v>2080</v>
      </c>
      <c r="L11">
        <v>1</v>
      </c>
    </row>
    <row r="12" spans="1:12" ht="12.75">
      <c r="A12" t="s">
        <v>185</v>
      </c>
      <c r="B12">
        <v>950</v>
      </c>
      <c r="C12" s="154">
        <v>3000</v>
      </c>
      <c r="D12">
        <v>360</v>
      </c>
      <c r="E12" s="154">
        <f t="shared" si="1"/>
        <v>2850000</v>
      </c>
      <c r="F12" s="154">
        <f t="shared" si="1"/>
        <v>1080000</v>
      </c>
      <c r="G12" s="154">
        <f>SUM(E12-F12)</f>
        <v>1770000</v>
      </c>
      <c r="H12" s="154">
        <v>40000</v>
      </c>
      <c r="I12" s="154">
        <f>SUM(G12-H12)</f>
        <v>1730000</v>
      </c>
      <c r="J12" s="154">
        <f>SUM(C12/(60/18))</f>
        <v>900</v>
      </c>
      <c r="K12" s="154">
        <f>SUM((I12-I11)/(J12-J11))</f>
        <v>1133.3333333333333</v>
      </c>
      <c r="L12">
        <v>4</v>
      </c>
    </row>
    <row r="13" spans="1:12" ht="12.75">
      <c r="A13" t="s">
        <v>180</v>
      </c>
      <c r="B13">
        <v>900</v>
      </c>
      <c r="C13" s="154">
        <v>3600</v>
      </c>
      <c r="D13">
        <v>360</v>
      </c>
      <c r="E13" s="154">
        <f t="shared" si="1"/>
        <v>3240000</v>
      </c>
      <c r="F13" s="154">
        <f t="shared" si="1"/>
        <v>1296000</v>
      </c>
      <c r="G13" s="154">
        <f>SUM(E13-F13)</f>
        <v>1944000</v>
      </c>
      <c r="H13" s="154">
        <v>40000</v>
      </c>
      <c r="I13" s="154">
        <f>SUM(G13-H13)</f>
        <v>1904000</v>
      </c>
      <c r="J13" s="154">
        <f>SUM(C13/(60/18))</f>
        <v>1080</v>
      </c>
      <c r="K13" s="154">
        <f>SUM((I13-I12)/(J13-J12))</f>
        <v>966.6666666666666</v>
      </c>
      <c r="L13">
        <v>6</v>
      </c>
    </row>
    <row r="14" spans="1:12" ht="12.75">
      <c r="A14" t="s">
        <v>187</v>
      </c>
      <c r="B14">
        <v>840</v>
      </c>
      <c r="C14" s="154">
        <v>4300</v>
      </c>
      <c r="D14">
        <v>360</v>
      </c>
      <c r="E14" s="154">
        <f t="shared" si="1"/>
        <v>3612000</v>
      </c>
      <c r="F14" s="154">
        <f t="shared" si="1"/>
        <v>1548000</v>
      </c>
      <c r="G14" s="154">
        <f>SUM(E14-F14)</f>
        <v>2064000</v>
      </c>
      <c r="H14" s="154">
        <v>40000</v>
      </c>
      <c r="I14" s="154">
        <f>SUM(G14-H14)</f>
        <v>2024000</v>
      </c>
      <c r="J14" s="154">
        <f>SUM(C14/(60/18))</f>
        <v>1290</v>
      </c>
      <c r="K14" s="154">
        <f>SUM((I14-I13)/(J14-J13))</f>
        <v>571.4285714285714</v>
      </c>
      <c r="L14">
        <v>9</v>
      </c>
    </row>
    <row r="15" spans="1:12" ht="12.75">
      <c r="A15" t="s">
        <v>189</v>
      </c>
      <c r="B15">
        <v>780</v>
      </c>
      <c r="C15" s="154">
        <v>5100</v>
      </c>
      <c r="D15">
        <v>360</v>
      </c>
      <c r="E15" s="154">
        <f t="shared" si="1"/>
        <v>3978000</v>
      </c>
      <c r="F15" s="154">
        <f t="shared" si="1"/>
        <v>1836000</v>
      </c>
      <c r="G15" s="154">
        <f>SUM(E15-F15)</f>
        <v>2142000</v>
      </c>
      <c r="H15" s="154">
        <v>40000</v>
      </c>
      <c r="I15" s="154">
        <f>SUM(G15-H15)</f>
        <v>2102000</v>
      </c>
      <c r="J15" s="154">
        <f>SUM(C15/(60/18))</f>
        <v>1530</v>
      </c>
      <c r="K15" s="154">
        <f>SUM((I15-I14)/(J15-J14))</f>
        <v>325</v>
      </c>
      <c r="L15">
        <v>10</v>
      </c>
    </row>
    <row r="18" spans="2:10" ht="12.75">
      <c r="B18" t="s">
        <v>218</v>
      </c>
      <c r="J18" s="154"/>
    </row>
    <row r="19" spans="1:3" ht="12.75">
      <c r="A19" t="s">
        <v>183</v>
      </c>
      <c r="B19">
        <v>750</v>
      </c>
      <c r="C19">
        <v>750</v>
      </c>
    </row>
    <row r="20" spans="1:3" ht="12.75">
      <c r="A20" t="s">
        <v>171</v>
      </c>
      <c r="B20">
        <v>400</v>
      </c>
      <c r="C20">
        <v>400</v>
      </c>
    </row>
    <row r="21" spans="1:3" ht="12.75">
      <c r="A21" t="s">
        <v>172</v>
      </c>
      <c r="B21">
        <v>600</v>
      </c>
      <c r="C21">
        <v>200</v>
      </c>
    </row>
    <row r="22" spans="1:3" ht="12.75">
      <c r="A22" t="s">
        <v>185</v>
      </c>
      <c r="B22">
        <v>900</v>
      </c>
      <c r="C22">
        <v>150</v>
      </c>
    </row>
    <row r="23" spans="1:3" ht="12.75">
      <c r="A23" t="s">
        <v>173</v>
      </c>
      <c r="B23">
        <v>800</v>
      </c>
      <c r="C23">
        <v>200</v>
      </c>
    </row>
    <row r="24" spans="1:3" ht="12.75">
      <c r="A24" s="87" t="s">
        <v>180</v>
      </c>
      <c r="B24" s="148">
        <v>1080</v>
      </c>
      <c r="C24" s="87">
        <v>180</v>
      </c>
    </row>
    <row r="25" spans="1:3" ht="12.75">
      <c r="A25" s="227" t="s">
        <v>174</v>
      </c>
      <c r="B25" s="228">
        <v>900</v>
      </c>
      <c r="C25" s="227">
        <v>100</v>
      </c>
    </row>
    <row r="26" spans="1:3" ht="12.75">
      <c r="A26" s="75" t="s">
        <v>175</v>
      </c>
      <c r="B26" s="154">
        <v>1000</v>
      </c>
      <c r="C26" s="75">
        <v>100</v>
      </c>
    </row>
    <row r="27" spans="1:3" ht="12.75">
      <c r="A27" s="75" t="s">
        <v>187</v>
      </c>
      <c r="B27" s="154">
        <v>1290</v>
      </c>
      <c r="C27" s="75">
        <v>210</v>
      </c>
    </row>
    <row r="28" spans="1:3" ht="12.75">
      <c r="A28" s="75" t="s">
        <v>189</v>
      </c>
      <c r="B28" s="154">
        <v>1530</v>
      </c>
      <c r="C28" s="75">
        <v>240</v>
      </c>
    </row>
    <row r="32" spans="2:5" ht="12.75">
      <c r="B32" t="s">
        <v>204</v>
      </c>
      <c r="C32" t="s">
        <v>205</v>
      </c>
      <c r="D32" t="s">
        <v>164</v>
      </c>
      <c r="E32" t="s">
        <v>219</v>
      </c>
    </row>
    <row r="33" spans="1:5" ht="12.75">
      <c r="A33" t="s">
        <v>174</v>
      </c>
      <c r="B33" s="154">
        <v>740</v>
      </c>
      <c r="C33" s="154">
        <v>2700</v>
      </c>
      <c r="D33" s="154">
        <v>900</v>
      </c>
      <c r="E33" s="154">
        <v>1070500</v>
      </c>
    </row>
    <row r="34" spans="1:5" ht="12.75">
      <c r="A34" s="228" t="s">
        <v>180</v>
      </c>
      <c r="B34" s="229">
        <v>900</v>
      </c>
      <c r="C34" s="229">
        <v>3600</v>
      </c>
      <c r="D34" s="229">
        <v>1080</v>
      </c>
      <c r="E34" s="229">
        <v>1904000</v>
      </c>
    </row>
    <row r="35" spans="2:5" ht="12.75">
      <c r="B35" s="154"/>
      <c r="C35" s="154"/>
      <c r="D35" s="154">
        <f>SUM(D33:D34)</f>
        <v>1980</v>
      </c>
      <c r="E35" s="154">
        <f>SUM(E33:E34)</f>
        <v>2974500</v>
      </c>
    </row>
    <row r="36" spans="1:5" ht="12.75">
      <c r="A36" t="s">
        <v>220</v>
      </c>
      <c r="B36" s="154"/>
      <c r="C36" s="154"/>
      <c r="D36" s="154"/>
      <c r="E36" s="229">
        <v>24000</v>
      </c>
    </row>
    <row r="37" spans="1:5" ht="12.75">
      <c r="A37" t="s">
        <v>221</v>
      </c>
      <c r="B37" s="154"/>
      <c r="C37" s="154"/>
      <c r="D37" s="154"/>
      <c r="E37" s="154">
        <f>SUM(E35-E36)</f>
        <v>2950500</v>
      </c>
    </row>
    <row r="38" spans="2:5" ht="12.75">
      <c r="B38" s="154"/>
      <c r="C38" s="154"/>
      <c r="D38" s="154"/>
      <c r="E38" s="154"/>
    </row>
    <row r="39" spans="2:5" ht="12.75">
      <c r="B39" s="154"/>
      <c r="C39" s="154"/>
      <c r="D39" s="154"/>
      <c r="E39" s="154"/>
    </row>
    <row r="40" ht="12.75">
      <c r="E40" s="154"/>
    </row>
    <row r="41" ht="12.75">
      <c r="A41" s="10" t="s">
        <v>222</v>
      </c>
    </row>
    <row r="42" spans="2:5" ht="12.75">
      <c r="B42" t="s">
        <v>204</v>
      </c>
      <c r="C42" t="s">
        <v>205</v>
      </c>
      <c r="D42" t="s">
        <v>164</v>
      </c>
      <c r="E42" t="s">
        <v>206</v>
      </c>
    </row>
    <row r="43" spans="1:5" ht="12.75">
      <c r="A43" t="s">
        <v>189</v>
      </c>
      <c r="B43" s="154">
        <v>780</v>
      </c>
      <c r="C43" s="154">
        <v>5100</v>
      </c>
      <c r="D43" s="154">
        <v>1530</v>
      </c>
      <c r="E43" s="154">
        <v>2102000</v>
      </c>
    </row>
    <row r="44" spans="1:5" ht="12.75">
      <c r="A44" s="228" t="s">
        <v>175</v>
      </c>
      <c r="B44" s="228">
        <v>720</v>
      </c>
      <c r="C44" s="229">
        <v>3000</v>
      </c>
      <c r="D44" s="229">
        <v>1000</v>
      </c>
      <c r="E44" s="229">
        <v>1135000</v>
      </c>
    </row>
    <row r="45" spans="1:5" ht="12.75">
      <c r="A45" t="s">
        <v>223</v>
      </c>
      <c r="D45" s="154">
        <f>SUM(D43:D44)</f>
        <v>2530</v>
      </c>
      <c r="E45" s="154">
        <f>SUM(E43:E44)</f>
        <v>3237000</v>
      </c>
    </row>
    <row r="46" spans="1:5" ht="12.75">
      <c r="A46" t="s">
        <v>224</v>
      </c>
      <c r="E46" s="229">
        <v>9000</v>
      </c>
    </row>
    <row r="47" ht="12.75">
      <c r="E47" s="154">
        <f>SUM(E45-E46)</f>
        <v>3228000</v>
      </c>
    </row>
    <row r="48" spans="1:5" ht="12.75">
      <c r="A48" t="s">
        <v>225</v>
      </c>
      <c r="E48" s="229">
        <v>2950500</v>
      </c>
    </row>
    <row r="49" spans="1:5" ht="12.75">
      <c r="A49" t="s">
        <v>226</v>
      </c>
      <c r="E49" s="154">
        <f>SUM(E47-E48)</f>
        <v>277500</v>
      </c>
    </row>
  </sheetData>
  <sheetProtection/>
  <printOptions/>
  <pageMargins left="0.75" right="0.75" top="1" bottom="1" header="0.5" footer="0.5"/>
  <pageSetup fitToHeight="1"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L76"/>
  <sheetViews>
    <sheetView zoomScale="88" zoomScaleNormal="88" zoomScalePageLayoutView="0" workbookViewId="0" topLeftCell="A1">
      <selection activeCell="F4" sqref="F4"/>
    </sheetView>
  </sheetViews>
  <sheetFormatPr defaultColWidth="9.140625" defaultRowHeight="12.75"/>
  <cols>
    <col min="1" max="1" width="5.421875" style="0" customWidth="1"/>
    <col min="2" max="2" width="9.28125" style="0" customWidth="1"/>
    <col min="3" max="3" width="16.140625" style="0" customWidth="1"/>
    <col min="4" max="4" width="20.7109375" style="0" customWidth="1"/>
    <col min="5" max="5" width="28.28125" style="0" customWidth="1"/>
    <col min="6" max="6" width="27.7109375" style="0" customWidth="1"/>
    <col min="7" max="7" width="28.28125" style="0" customWidth="1"/>
    <col min="8" max="8" width="24.7109375" style="0" hidden="1" customWidth="1"/>
    <col min="9" max="9" width="24.8515625" style="0" customWidth="1"/>
    <col min="10" max="10" width="24.140625" style="0" customWidth="1"/>
  </cols>
  <sheetData>
    <row r="1" spans="2:5" ht="25.5">
      <c r="B1" s="443" t="s">
        <v>227</v>
      </c>
      <c r="C1" s="444"/>
      <c r="D1" s="444"/>
      <c r="E1" s="232" t="s">
        <v>228</v>
      </c>
    </row>
    <row r="2" spans="2:6" ht="23.25">
      <c r="B2" s="233" t="s">
        <v>229</v>
      </c>
      <c r="C2" s="233">
        <v>50</v>
      </c>
      <c r="D2" s="233">
        <v>10000</v>
      </c>
      <c r="E2" s="234">
        <f>C2*D2</f>
        <v>500000</v>
      </c>
      <c r="F2" s="233"/>
    </row>
    <row r="3" spans="2:6" ht="23.25">
      <c r="B3" s="233" t="s">
        <v>212</v>
      </c>
      <c r="C3" s="233">
        <v>29.5</v>
      </c>
      <c r="D3" s="233">
        <v>10000</v>
      </c>
      <c r="E3" s="234">
        <f>C3*D3</f>
        <v>295000</v>
      </c>
      <c r="F3" s="233"/>
    </row>
    <row r="4" spans="2:6" ht="23.25">
      <c r="B4" s="233" t="s">
        <v>230</v>
      </c>
      <c r="C4" s="233"/>
      <c r="D4" s="233"/>
      <c r="E4" s="234">
        <f>E2-E3</f>
        <v>205000</v>
      </c>
      <c r="F4" s="233"/>
    </row>
    <row r="5" spans="2:6" ht="23.25">
      <c r="B5" s="233" t="s">
        <v>231</v>
      </c>
      <c r="C5" s="233"/>
      <c r="D5" s="233"/>
      <c r="E5" s="234">
        <v>30000</v>
      </c>
      <c r="F5" s="233"/>
    </row>
    <row r="6" spans="2:6" ht="23.25">
      <c r="B6" s="233" t="s">
        <v>232</v>
      </c>
      <c r="C6" s="233"/>
      <c r="D6" s="233"/>
      <c r="E6" s="234">
        <f>E4-E5</f>
        <v>175000</v>
      </c>
      <c r="F6" s="233"/>
    </row>
    <row r="7" spans="2:6" ht="23.25" hidden="1">
      <c r="B7" s="233"/>
      <c r="C7" s="233"/>
      <c r="D7" s="233"/>
      <c r="E7" s="233"/>
      <c r="F7" s="233"/>
    </row>
    <row r="8" spans="2:6" ht="23.25" hidden="1">
      <c r="B8" s="233"/>
      <c r="C8" s="233"/>
      <c r="D8" s="233"/>
      <c r="E8" s="233"/>
      <c r="F8" s="233"/>
    </row>
    <row r="9" spans="2:6" ht="23.25" hidden="1">
      <c r="B9" s="233"/>
      <c r="C9" s="233"/>
      <c r="D9" s="233"/>
      <c r="E9" s="233"/>
      <c r="F9" s="233"/>
    </row>
    <row r="10" spans="5:6" ht="23.25" hidden="1">
      <c r="E10" s="233"/>
      <c r="F10" s="233"/>
    </row>
    <row r="11" ht="18" hidden="1">
      <c r="B11" s="1"/>
    </row>
    <row r="12" spans="2:3" ht="15.75">
      <c r="B12" s="235" t="s">
        <v>233</v>
      </c>
      <c r="C12" s="236">
        <v>4</v>
      </c>
    </row>
    <row r="13" spans="2:3" ht="16.5" thickBot="1">
      <c r="B13" s="235" t="s">
        <v>234</v>
      </c>
      <c r="C13" s="237">
        <v>0.13</v>
      </c>
    </row>
    <row r="14" spans="2:10" ht="64.5" customHeight="1" thickBot="1">
      <c r="B14" s="238" t="s">
        <v>235</v>
      </c>
      <c r="C14" s="239" t="s">
        <v>236</v>
      </c>
      <c r="D14" s="240" t="s">
        <v>237</v>
      </c>
      <c r="E14" s="238" t="s">
        <v>238</v>
      </c>
      <c r="F14" s="241" t="s">
        <v>301</v>
      </c>
      <c r="G14" s="238" t="s">
        <v>302</v>
      </c>
      <c r="H14" s="238" t="s">
        <v>303</v>
      </c>
      <c r="I14" s="241" t="str">
        <f>CONCATENATE("Nutidsværdien ved den interne rente (IRR) ",(ROUND(G68,4)*100)," %")</f>
        <v>Nutidsværdien ved den interne rente (IRR) 23,03 %</v>
      </c>
      <c r="J14" s="241" t="s">
        <v>304</v>
      </c>
    </row>
    <row r="15" spans="2:10" ht="18">
      <c r="B15" s="242">
        <v>0</v>
      </c>
      <c r="C15" s="243">
        <v>0</v>
      </c>
      <c r="D15" s="244">
        <v>450000</v>
      </c>
      <c r="E15" s="245">
        <f>C15-D15</f>
        <v>-450000</v>
      </c>
      <c r="F15" s="246">
        <f aca="true" t="shared" si="0" ref="F15:F46">IF(B15&lt;=$C$12,POWER((1+$C$13),(B15*-1)),"-")</f>
        <v>1</v>
      </c>
      <c r="G15" s="247">
        <f>E15</f>
        <v>-450000</v>
      </c>
      <c r="H15" s="246">
        <f aca="true" t="shared" si="1" ref="H15:H46">IF(B15&lt;=$C$12,POWER((1+$G$68),(B15*-1)),"-")</f>
        <v>1</v>
      </c>
      <c r="I15" s="247">
        <f>G15</f>
        <v>-450000</v>
      </c>
      <c r="J15" s="242"/>
    </row>
    <row r="16" spans="2:10" ht="18">
      <c r="B16" s="248">
        <f aca="true" t="shared" si="2" ref="B16:B47">B15+1</f>
        <v>1</v>
      </c>
      <c r="C16" s="249">
        <f>$E$6</f>
        <v>175000</v>
      </c>
      <c r="D16" s="250">
        <v>0</v>
      </c>
      <c r="E16" s="251">
        <f>C16-D16</f>
        <v>175000</v>
      </c>
      <c r="F16" s="252">
        <f t="shared" si="0"/>
        <v>0.8849557522123894</v>
      </c>
      <c r="G16" s="253">
        <f aca="true" t="shared" si="3" ref="G16:G47">PV($C$13,B16,0,E16)*-1</f>
        <v>154867.25663716815</v>
      </c>
      <c r="H16" s="252">
        <f t="shared" si="1"/>
        <v>0.8127814157787888</v>
      </c>
      <c r="I16" s="253">
        <f aca="true" t="shared" si="4" ref="I16:I47">PV($G$68,B16,0,E16)*-1</f>
        <v>142236.74776128805</v>
      </c>
      <c r="J16" s="253">
        <f>PMT($C$13,$C$12,$G$66)*-1</f>
        <v>34022.32103735482</v>
      </c>
    </row>
    <row r="17" spans="2:10" ht="18">
      <c r="B17" s="248">
        <f t="shared" si="2"/>
        <v>2</v>
      </c>
      <c r="C17" s="249">
        <f>$E$6</f>
        <v>175000</v>
      </c>
      <c r="D17" s="250">
        <v>0</v>
      </c>
      <c r="E17" s="251">
        <f>C17-D17</f>
        <v>175000</v>
      </c>
      <c r="F17" s="252">
        <f t="shared" si="0"/>
        <v>0.7831466833737961</v>
      </c>
      <c r="G17" s="253">
        <f t="shared" si="3"/>
        <v>137050.66959041433</v>
      </c>
      <c r="H17" s="252">
        <f t="shared" si="1"/>
        <v>0.6606136298353724</v>
      </c>
      <c r="I17" s="253">
        <f t="shared" si="4"/>
        <v>115607.38522119017</v>
      </c>
      <c r="J17" s="253">
        <f aca="true" t="shared" si="5" ref="J17:J22">IF(B17&lt;=$C$12,$J$16,0)</f>
        <v>34022.32103735482</v>
      </c>
    </row>
    <row r="18" spans="2:10" ht="18">
      <c r="B18" s="248">
        <f t="shared" si="2"/>
        <v>3</v>
      </c>
      <c r="C18" s="249">
        <f>$E$6</f>
        <v>175000</v>
      </c>
      <c r="D18" s="250">
        <v>0</v>
      </c>
      <c r="E18" s="251">
        <f>C18-D18</f>
        <v>175000</v>
      </c>
      <c r="F18" s="252">
        <f t="shared" si="0"/>
        <v>0.6930501622776958</v>
      </c>
      <c r="G18" s="253">
        <f t="shared" si="3"/>
        <v>121283.77839859675</v>
      </c>
      <c r="H18" s="252">
        <f t="shared" si="1"/>
        <v>0.5369344813403587</v>
      </c>
      <c r="I18" s="253">
        <f t="shared" si="4"/>
        <v>93963.53423456277</v>
      </c>
      <c r="J18" s="253">
        <f t="shared" si="5"/>
        <v>34022.32103735482</v>
      </c>
    </row>
    <row r="19" spans="2:10" ht="18.75" thickBot="1">
      <c r="B19" s="255">
        <f t="shared" si="2"/>
        <v>4</v>
      </c>
      <c r="C19" s="256">
        <f>$E$6+50000</f>
        <v>225000</v>
      </c>
      <c r="D19" s="257">
        <v>0</v>
      </c>
      <c r="E19" s="258">
        <f>C19-D19</f>
        <v>225000</v>
      </c>
      <c r="F19" s="259">
        <f t="shared" si="0"/>
        <v>0.6133187276793768</v>
      </c>
      <c r="G19" s="260">
        <f t="shared" si="3"/>
        <v>137996.71372785978</v>
      </c>
      <c r="H19" s="259">
        <f t="shared" si="1"/>
        <v>0.43641036792426646</v>
      </c>
      <c r="I19" s="260">
        <f t="shared" si="4"/>
        <v>98192.33278295996</v>
      </c>
      <c r="J19" s="260">
        <f t="shared" si="5"/>
        <v>34022.32103735482</v>
      </c>
    </row>
    <row r="20" spans="2:10" ht="18" hidden="1">
      <c r="B20" s="248">
        <f t="shared" si="2"/>
        <v>5</v>
      </c>
      <c r="C20" s="249">
        <v>0</v>
      </c>
      <c r="D20" s="250">
        <v>0</v>
      </c>
      <c r="E20" s="251">
        <f>(C20-D20)</f>
        <v>0</v>
      </c>
      <c r="F20" s="252" t="str">
        <f t="shared" si="0"/>
        <v>-</v>
      </c>
      <c r="G20" s="253">
        <f t="shared" si="3"/>
        <v>0</v>
      </c>
      <c r="H20" s="252" t="str">
        <f t="shared" si="1"/>
        <v>-</v>
      </c>
      <c r="I20" s="253">
        <f t="shared" si="4"/>
        <v>0</v>
      </c>
      <c r="J20" s="253">
        <f t="shared" si="5"/>
        <v>0</v>
      </c>
    </row>
    <row r="21" spans="2:10" ht="18" hidden="1">
      <c r="B21" s="248">
        <f t="shared" si="2"/>
        <v>6</v>
      </c>
      <c r="C21" s="249">
        <v>0</v>
      </c>
      <c r="D21" s="250">
        <v>0</v>
      </c>
      <c r="E21" s="251">
        <f aca="true" t="shared" si="6" ref="E21:E65">C21-D21</f>
        <v>0</v>
      </c>
      <c r="F21" s="252" t="str">
        <f t="shared" si="0"/>
        <v>-</v>
      </c>
      <c r="G21" s="253">
        <f t="shared" si="3"/>
        <v>0</v>
      </c>
      <c r="H21" s="252" t="str">
        <f t="shared" si="1"/>
        <v>-</v>
      </c>
      <c r="I21" s="253">
        <f t="shared" si="4"/>
        <v>0</v>
      </c>
      <c r="J21" s="253">
        <f t="shared" si="5"/>
        <v>0</v>
      </c>
    </row>
    <row r="22" spans="2:10" ht="18" hidden="1">
      <c r="B22" s="248">
        <f t="shared" si="2"/>
        <v>7</v>
      </c>
      <c r="C22" s="249">
        <v>0</v>
      </c>
      <c r="D22" s="250">
        <v>0</v>
      </c>
      <c r="E22" s="251">
        <f t="shared" si="6"/>
        <v>0</v>
      </c>
      <c r="F22" s="252" t="str">
        <f t="shared" si="0"/>
        <v>-</v>
      </c>
      <c r="G22" s="253">
        <f t="shared" si="3"/>
        <v>0</v>
      </c>
      <c r="H22" s="252" t="str">
        <f t="shared" si="1"/>
        <v>-</v>
      </c>
      <c r="I22" s="253">
        <f t="shared" si="4"/>
        <v>0</v>
      </c>
      <c r="J22" s="253">
        <f t="shared" si="5"/>
        <v>0</v>
      </c>
    </row>
    <row r="23" spans="2:12" ht="18" hidden="1">
      <c r="B23" s="248">
        <f t="shared" si="2"/>
        <v>8</v>
      </c>
      <c r="C23" s="249">
        <v>0</v>
      </c>
      <c r="D23" s="250">
        <v>0</v>
      </c>
      <c r="E23" s="251">
        <f t="shared" si="6"/>
        <v>0</v>
      </c>
      <c r="F23" s="252" t="str">
        <f t="shared" si="0"/>
        <v>-</v>
      </c>
      <c r="G23" s="253">
        <f t="shared" si="3"/>
        <v>0</v>
      </c>
      <c r="H23" s="252" t="str">
        <f t="shared" si="1"/>
        <v>-</v>
      </c>
      <c r="I23" s="253">
        <f t="shared" si="4"/>
        <v>0</v>
      </c>
      <c r="J23" s="253">
        <f aca="true" t="shared" si="7" ref="J23:J65">IF(B22&lt;=$C$12,$J$16,0)</f>
        <v>0</v>
      </c>
      <c r="L23" s="254"/>
    </row>
    <row r="24" spans="2:10" ht="18" hidden="1">
      <c r="B24" s="248">
        <f t="shared" si="2"/>
        <v>9</v>
      </c>
      <c r="C24" s="249">
        <v>0</v>
      </c>
      <c r="D24" s="250">
        <v>0</v>
      </c>
      <c r="E24" s="251">
        <f t="shared" si="6"/>
        <v>0</v>
      </c>
      <c r="F24" s="252" t="str">
        <f t="shared" si="0"/>
        <v>-</v>
      </c>
      <c r="G24" s="253">
        <f t="shared" si="3"/>
        <v>0</v>
      </c>
      <c r="H24" s="252" t="str">
        <f t="shared" si="1"/>
        <v>-</v>
      </c>
      <c r="I24" s="253">
        <f t="shared" si="4"/>
        <v>0</v>
      </c>
      <c r="J24" s="253">
        <f t="shared" si="7"/>
        <v>0</v>
      </c>
    </row>
    <row r="25" spans="2:10" ht="18" hidden="1">
      <c r="B25" s="248">
        <f t="shared" si="2"/>
        <v>10</v>
      </c>
      <c r="C25" s="249">
        <v>0</v>
      </c>
      <c r="D25" s="250">
        <v>0</v>
      </c>
      <c r="E25" s="251">
        <f t="shared" si="6"/>
        <v>0</v>
      </c>
      <c r="F25" s="252" t="str">
        <f t="shared" si="0"/>
        <v>-</v>
      </c>
      <c r="G25" s="253">
        <f t="shared" si="3"/>
        <v>0</v>
      </c>
      <c r="H25" s="252" t="str">
        <f t="shared" si="1"/>
        <v>-</v>
      </c>
      <c r="I25" s="253">
        <f t="shared" si="4"/>
        <v>0</v>
      </c>
      <c r="J25" s="253">
        <f t="shared" si="7"/>
        <v>0</v>
      </c>
    </row>
    <row r="26" spans="2:10" ht="18" hidden="1">
      <c r="B26" s="248">
        <f t="shared" si="2"/>
        <v>11</v>
      </c>
      <c r="C26" s="249">
        <v>0</v>
      </c>
      <c r="D26" s="250">
        <v>0</v>
      </c>
      <c r="E26" s="251">
        <f t="shared" si="6"/>
        <v>0</v>
      </c>
      <c r="F26" s="252" t="str">
        <f t="shared" si="0"/>
        <v>-</v>
      </c>
      <c r="G26" s="253">
        <f t="shared" si="3"/>
        <v>0</v>
      </c>
      <c r="H26" s="252" t="str">
        <f t="shared" si="1"/>
        <v>-</v>
      </c>
      <c r="I26" s="253">
        <f t="shared" si="4"/>
        <v>0</v>
      </c>
      <c r="J26" s="253">
        <f t="shared" si="7"/>
        <v>0</v>
      </c>
    </row>
    <row r="27" spans="2:10" ht="18" hidden="1">
      <c r="B27" s="248">
        <f t="shared" si="2"/>
        <v>12</v>
      </c>
      <c r="C27" s="249">
        <v>0</v>
      </c>
      <c r="D27" s="250">
        <v>0</v>
      </c>
      <c r="E27" s="251">
        <f t="shared" si="6"/>
        <v>0</v>
      </c>
      <c r="F27" s="252" t="str">
        <f t="shared" si="0"/>
        <v>-</v>
      </c>
      <c r="G27" s="253">
        <f t="shared" si="3"/>
        <v>0</v>
      </c>
      <c r="H27" s="252" t="str">
        <f t="shared" si="1"/>
        <v>-</v>
      </c>
      <c r="I27" s="253">
        <f t="shared" si="4"/>
        <v>0</v>
      </c>
      <c r="J27" s="253">
        <f t="shared" si="7"/>
        <v>0</v>
      </c>
    </row>
    <row r="28" spans="2:12" ht="18" hidden="1">
      <c r="B28" s="248">
        <f t="shared" si="2"/>
        <v>13</v>
      </c>
      <c r="C28" s="249">
        <v>0</v>
      </c>
      <c r="D28" s="250">
        <v>0</v>
      </c>
      <c r="E28" s="251">
        <f t="shared" si="6"/>
        <v>0</v>
      </c>
      <c r="F28" s="252" t="str">
        <f t="shared" si="0"/>
        <v>-</v>
      </c>
      <c r="G28" s="253">
        <f t="shared" si="3"/>
        <v>0</v>
      </c>
      <c r="H28" s="252" t="str">
        <f t="shared" si="1"/>
        <v>-</v>
      </c>
      <c r="I28" s="253">
        <f t="shared" si="4"/>
        <v>0</v>
      </c>
      <c r="J28" s="253">
        <f t="shared" si="7"/>
        <v>0</v>
      </c>
      <c r="L28" s="254"/>
    </row>
    <row r="29" spans="2:10" ht="18" hidden="1">
      <c r="B29" s="248">
        <f t="shared" si="2"/>
        <v>14</v>
      </c>
      <c r="C29" s="249">
        <v>0</v>
      </c>
      <c r="D29" s="250">
        <v>0</v>
      </c>
      <c r="E29" s="251">
        <f t="shared" si="6"/>
        <v>0</v>
      </c>
      <c r="F29" s="252" t="str">
        <f t="shared" si="0"/>
        <v>-</v>
      </c>
      <c r="G29" s="253">
        <f t="shared" si="3"/>
        <v>0</v>
      </c>
      <c r="H29" s="252" t="str">
        <f t="shared" si="1"/>
        <v>-</v>
      </c>
      <c r="I29" s="253">
        <f t="shared" si="4"/>
        <v>0</v>
      </c>
      <c r="J29" s="253">
        <f t="shared" si="7"/>
        <v>0</v>
      </c>
    </row>
    <row r="30" spans="2:10" ht="18.75" hidden="1" thickBot="1">
      <c r="B30" s="255">
        <f t="shared" si="2"/>
        <v>15</v>
      </c>
      <c r="C30" s="256">
        <v>0</v>
      </c>
      <c r="D30" s="257">
        <v>0</v>
      </c>
      <c r="E30" s="258">
        <f t="shared" si="6"/>
        <v>0</v>
      </c>
      <c r="F30" s="259" t="str">
        <f t="shared" si="0"/>
        <v>-</v>
      </c>
      <c r="G30" s="260">
        <f t="shared" si="3"/>
        <v>0</v>
      </c>
      <c r="H30" s="259" t="str">
        <f t="shared" si="1"/>
        <v>-</v>
      </c>
      <c r="I30" s="260">
        <f t="shared" si="4"/>
        <v>0</v>
      </c>
      <c r="J30" s="260">
        <f t="shared" si="7"/>
        <v>0</v>
      </c>
    </row>
    <row r="31" spans="2:10" ht="18" hidden="1">
      <c r="B31" s="248">
        <f t="shared" si="2"/>
        <v>16</v>
      </c>
      <c r="C31" s="249">
        <v>0</v>
      </c>
      <c r="D31" s="250">
        <v>0</v>
      </c>
      <c r="E31" s="251">
        <f t="shared" si="6"/>
        <v>0</v>
      </c>
      <c r="F31" s="252" t="str">
        <f t="shared" si="0"/>
        <v>-</v>
      </c>
      <c r="G31" s="253">
        <f t="shared" si="3"/>
        <v>0</v>
      </c>
      <c r="H31" s="252" t="str">
        <f t="shared" si="1"/>
        <v>-</v>
      </c>
      <c r="I31" s="253">
        <f t="shared" si="4"/>
        <v>0</v>
      </c>
      <c r="J31" s="253">
        <f t="shared" si="7"/>
        <v>0</v>
      </c>
    </row>
    <row r="32" spans="2:10" ht="18" hidden="1">
      <c r="B32" s="248">
        <f t="shared" si="2"/>
        <v>17</v>
      </c>
      <c r="C32" s="249">
        <v>0</v>
      </c>
      <c r="D32" s="250">
        <v>0</v>
      </c>
      <c r="E32" s="251">
        <f t="shared" si="6"/>
        <v>0</v>
      </c>
      <c r="F32" s="252" t="str">
        <f t="shared" si="0"/>
        <v>-</v>
      </c>
      <c r="G32" s="253">
        <f t="shared" si="3"/>
        <v>0</v>
      </c>
      <c r="H32" s="252" t="str">
        <f t="shared" si="1"/>
        <v>-</v>
      </c>
      <c r="I32" s="253">
        <f t="shared" si="4"/>
        <v>0</v>
      </c>
      <c r="J32" s="253">
        <f t="shared" si="7"/>
        <v>0</v>
      </c>
    </row>
    <row r="33" spans="2:10" ht="18" hidden="1">
      <c r="B33" s="248">
        <f t="shared" si="2"/>
        <v>18</v>
      </c>
      <c r="C33" s="249">
        <v>0</v>
      </c>
      <c r="D33" s="250">
        <v>0</v>
      </c>
      <c r="E33" s="251">
        <f t="shared" si="6"/>
        <v>0</v>
      </c>
      <c r="F33" s="252" t="str">
        <f t="shared" si="0"/>
        <v>-</v>
      </c>
      <c r="G33" s="253">
        <f t="shared" si="3"/>
        <v>0</v>
      </c>
      <c r="H33" s="252" t="str">
        <f t="shared" si="1"/>
        <v>-</v>
      </c>
      <c r="I33" s="253">
        <f t="shared" si="4"/>
        <v>0</v>
      </c>
      <c r="J33" s="253">
        <f t="shared" si="7"/>
        <v>0</v>
      </c>
    </row>
    <row r="34" spans="2:10" ht="18" hidden="1">
      <c r="B34" s="248">
        <f t="shared" si="2"/>
        <v>19</v>
      </c>
      <c r="C34" s="249">
        <v>0</v>
      </c>
      <c r="D34" s="250">
        <v>0</v>
      </c>
      <c r="E34" s="251">
        <f t="shared" si="6"/>
        <v>0</v>
      </c>
      <c r="F34" s="252" t="str">
        <f t="shared" si="0"/>
        <v>-</v>
      </c>
      <c r="G34" s="253">
        <f t="shared" si="3"/>
        <v>0</v>
      </c>
      <c r="H34" s="252" t="str">
        <f t="shared" si="1"/>
        <v>-</v>
      </c>
      <c r="I34" s="253">
        <f t="shared" si="4"/>
        <v>0</v>
      </c>
      <c r="J34" s="253">
        <f t="shared" si="7"/>
        <v>0</v>
      </c>
    </row>
    <row r="35" spans="2:10" ht="18" hidden="1">
      <c r="B35" s="248">
        <f t="shared" si="2"/>
        <v>20</v>
      </c>
      <c r="C35" s="249">
        <v>0</v>
      </c>
      <c r="D35" s="250">
        <v>0</v>
      </c>
      <c r="E35" s="251">
        <f t="shared" si="6"/>
        <v>0</v>
      </c>
      <c r="F35" s="252" t="str">
        <f t="shared" si="0"/>
        <v>-</v>
      </c>
      <c r="G35" s="253">
        <f t="shared" si="3"/>
        <v>0</v>
      </c>
      <c r="H35" s="252" t="str">
        <f t="shared" si="1"/>
        <v>-</v>
      </c>
      <c r="I35" s="253">
        <f t="shared" si="4"/>
        <v>0</v>
      </c>
      <c r="J35" s="253">
        <f t="shared" si="7"/>
        <v>0</v>
      </c>
    </row>
    <row r="36" spans="2:10" ht="18" hidden="1">
      <c r="B36" s="248">
        <f t="shared" si="2"/>
        <v>21</v>
      </c>
      <c r="C36" s="249">
        <v>0</v>
      </c>
      <c r="D36" s="250">
        <v>0</v>
      </c>
      <c r="E36" s="251">
        <f t="shared" si="6"/>
        <v>0</v>
      </c>
      <c r="F36" s="252" t="str">
        <f t="shared" si="0"/>
        <v>-</v>
      </c>
      <c r="G36" s="253">
        <f t="shared" si="3"/>
        <v>0</v>
      </c>
      <c r="H36" s="252" t="str">
        <f t="shared" si="1"/>
        <v>-</v>
      </c>
      <c r="I36" s="253">
        <f t="shared" si="4"/>
        <v>0</v>
      </c>
      <c r="J36" s="253">
        <f t="shared" si="7"/>
        <v>0</v>
      </c>
    </row>
    <row r="37" spans="2:10" ht="18" hidden="1">
      <c r="B37" s="248">
        <f t="shared" si="2"/>
        <v>22</v>
      </c>
      <c r="C37" s="249">
        <v>0</v>
      </c>
      <c r="D37" s="250">
        <v>0</v>
      </c>
      <c r="E37" s="251">
        <f t="shared" si="6"/>
        <v>0</v>
      </c>
      <c r="F37" s="252" t="str">
        <f t="shared" si="0"/>
        <v>-</v>
      </c>
      <c r="G37" s="253">
        <f t="shared" si="3"/>
        <v>0</v>
      </c>
      <c r="H37" s="252" t="str">
        <f t="shared" si="1"/>
        <v>-</v>
      </c>
      <c r="I37" s="253">
        <f t="shared" si="4"/>
        <v>0</v>
      </c>
      <c r="J37" s="253">
        <f t="shared" si="7"/>
        <v>0</v>
      </c>
    </row>
    <row r="38" spans="2:10" ht="18" hidden="1">
      <c r="B38" s="248">
        <f t="shared" si="2"/>
        <v>23</v>
      </c>
      <c r="C38" s="249">
        <v>0</v>
      </c>
      <c r="D38" s="250">
        <v>0</v>
      </c>
      <c r="E38" s="251">
        <f t="shared" si="6"/>
        <v>0</v>
      </c>
      <c r="F38" s="252" t="str">
        <f t="shared" si="0"/>
        <v>-</v>
      </c>
      <c r="G38" s="253">
        <f t="shared" si="3"/>
        <v>0</v>
      </c>
      <c r="H38" s="252" t="str">
        <f t="shared" si="1"/>
        <v>-</v>
      </c>
      <c r="I38" s="253">
        <f t="shared" si="4"/>
        <v>0</v>
      </c>
      <c r="J38" s="253">
        <f t="shared" si="7"/>
        <v>0</v>
      </c>
    </row>
    <row r="39" spans="2:10" ht="18" hidden="1">
      <c r="B39" s="248">
        <f t="shared" si="2"/>
        <v>24</v>
      </c>
      <c r="C39" s="249">
        <v>0</v>
      </c>
      <c r="D39" s="250">
        <v>0</v>
      </c>
      <c r="E39" s="251">
        <f t="shared" si="6"/>
        <v>0</v>
      </c>
      <c r="F39" s="252" t="str">
        <f t="shared" si="0"/>
        <v>-</v>
      </c>
      <c r="G39" s="253">
        <f t="shared" si="3"/>
        <v>0</v>
      </c>
      <c r="H39" s="252" t="str">
        <f t="shared" si="1"/>
        <v>-</v>
      </c>
      <c r="I39" s="253">
        <f t="shared" si="4"/>
        <v>0</v>
      </c>
      <c r="J39" s="253">
        <f t="shared" si="7"/>
        <v>0</v>
      </c>
    </row>
    <row r="40" spans="2:10" ht="18" hidden="1">
      <c r="B40" s="248">
        <f t="shared" si="2"/>
        <v>25</v>
      </c>
      <c r="C40" s="249">
        <v>0</v>
      </c>
      <c r="D40" s="250">
        <v>0</v>
      </c>
      <c r="E40" s="251">
        <f t="shared" si="6"/>
        <v>0</v>
      </c>
      <c r="F40" s="252" t="str">
        <f t="shared" si="0"/>
        <v>-</v>
      </c>
      <c r="G40" s="253">
        <f t="shared" si="3"/>
        <v>0</v>
      </c>
      <c r="H40" s="252" t="str">
        <f t="shared" si="1"/>
        <v>-</v>
      </c>
      <c r="I40" s="253">
        <f t="shared" si="4"/>
        <v>0</v>
      </c>
      <c r="J40" s="253">
        <f t="shared" si="7"/>
        <v>0</v>
      </c>
    </row>
    <row r="41" spans="2:10" ht="18" hidden="1">
      <c r="B41" s="248">
        <f t="shared" si="2"/>
        <v>26</v>
      </c>
      <c r="C41" s="249">
        <v>0</v>
      </c>
      <c r="D41" s="250">
        <v>0</v>
      </c>
      <c r="E41" s="251">
        <f t="shared" si="6"/>
        <v>0</v>
      </c>
      <c r="F41" s="252" t="str">
        <f t="shared" si="0"/>
        <v>-</v>
      </c>
      <c r="G41" s="253">
        <f t="shared" si="3"/>
        <v>0</v>
      </c>
      <c r="H41" s="252" t="str">
        <f t="shared" si="1"/>
        <v>-</v>
      </c>
      <c r="I41" s="253">
        <f t="shared" si="4"/>
        <v>0</v>
      </c>
      <c r="J41" s="253">
        <f t="shared" si="7"/>
        <v>0</v>
      </c>
    </row>
    <row r="42" spans="2:10" ht="18" hidden="1">
      <c r="B42" s="248">
        <f t="shared" si="2"/>
        <v>27</v>
      </c>
      <c r="C42" s="249">
        <v>0</v>
      </c>
      <c r="D42" s="250">
        <v>0</v>
      </c>
      <c r="E42" s="251">
        <f t="shared" si="6"/>
        <v>0</v>
      </c>
      <c r="F42" s="252" t="str">
        <f t="shared" si="0"/>
        <v>-</v>
      </c>
      <c r="G42" s="253">
        <f t="shared" si="3"/>
        <v>0</v>
      </c>
      <c r="H42" s="252" t="str">
        <f t="shared" si="1"/>
        <v>-</v>
      </c>
      <c r="I42" s="253">
        <f t="shared" si="4"/>
        <v>0</v>
      </c>
      <c r="J42" s="253">
        <f t="shared" si="7"/>
        <v>0</v>
      </c>
    </row>
    <row r="43" spans="2:10" ht="18" hidden="1">
      <c r="B43" s="248">
        <f t="shared" si="2"/>
        <v>28</v>
      </c>
      <c r="C43" s="249">
        <v>0</v>
      </c>
      <c r="D43" s="250">
        <v>0</v>
      </c>
      <c r="E43" s="251">
        <f t="shared" si="6"/>
        <v>0</v>
      </c>
      <c r="F43" s="252" t="str">
        <f t="shared" si="0"/>
        <v>-</v>
      </c>
      <c r="G43" s="253">
        <f t="shared" si="3"/>
        <v>0</v>
      </c>
      <c r="H43" s="252" t="str">
        <f t="shared" si="1"/>
        <v>-</v>
      </c>
      <c r="I43" s="253">
        <f t="shared" si="4"/>
        <v>0</v>
      </c>
      <c r="J43" s="253">
        <f t="shared" si="7"/>
        <v>0</v>
      </c>
    </row>
    <row r="44" spans="2:10" ht="18" hidden="1">
      <c r="B44" s="248">
        <f t="shared" si="2"/>
        <v>29</v>
      </c>
      <c r="C44" s="249">
        <v>0</v>
      </c>
      <c r="D44" s="250">
        <v>0</v>
      </c>
      <c r="E44" s="251">
        <f t="shared" si="6"/>
        <v>0</v>
      </c>
      <c r="F44" s="252" t="str">
        <f t="shared" si="0"/>
        <v>-</v>
      </c>
      <c r="G44" s="253">
        <f t="shared" si="3"/>
        <v>0</v>
      </c>
      <c r="H44" s="252" t="str">
        <f t="shared" si="1"/>
        <v>-</v>
      </c>
      <c r="I44" s="253">
        <f t="shared" si="4"/>
        <v>0</v>
      </c>
      <c r="J44" s="253">
        <f t="shared" si="7"/>
        <v>0</v>
      </c>
    </row>
    <row r="45" spans="2:10" ht="18" hidden="1">
      <c r="B45" s="248">
        <f t="shared" si="2"/>
        <v>30</v>
      </c>
      <c r="C45" s="249">
        <v>0</v>
      </c>
      <c r="D45" s="250">
        <v>0</v>
      </c>
      <c r="E45" s="251">
        <f t="shared" si="6"/>
        <v>0</v>
      </c>
      <c r="F45" s="252" t="str">
        <f t="shared" si="0"/>
        <v>-</v>
      </c>
      <c r="G45" s="253">
        <f t="shared" si="3"/>
        <v>0</v>
      </c>
      <c r="H45" s="252" t="str">
        <f t="shared" si="1"/>
        <v>-</v>
      </c>
      <c r="I45" s="253">
        <f t="shared" si="4"/>
        <v>0</v>
      </c>
      <c r="J45" s="253">
        <f t="shared" si="7"/>
        <v>0</v>
      </c>
    </row>
    <row r="46" spans="2:10" ht="18" hidden="1">
      <c r="B46" s="248">
        <f t="shared" si="2"/>
        <v>31</v>
      </c>
      <c r="C46" s="249">
        <v>0</v>
      </c>
      <c r="D46" s="250">
        <v>0</v>
      </c>
      <c r="E46" s="251">
        <f t="shared" si="6"/>
        <v>0</v>
      </c>
      <c r="F46" s="252" t="str">
        <f t="shared" si="0"/>
        <v>-</v>
      </c>
      <c r="G46" s="253">
        <f t="shared" si="3"/>
        <v>0</v>
      </c>
      <c r="H46" s="252" t="str">
        <f t="shared" si="1"/>
        <v>-</v>
      </c>
      <c r="I46" s="253">
        <f t="shared" si="4"/>
        <v>0</v>
      </c>
      <c r="J46" s="253">
        <f t="shared" si="7"/>
        <v>0</v>
      </c>
    </row>
    <row r="47" spans="2:10" ht="18" hidden="1">
      <c r="B47" s="248">
        <f t="shared" si="2"/>
        <v>32</v>
      </c>
      <c r="C47" s="249">
        <v>0</v>
      </c>
      <c r="D47" s="250">
        <v>0</v>
      </c>
      <c r="E47" s="251">
        <f t="shared" si="6"/>
        <v>0</v>
      </c>
      <c r="F47" s="252" t="str">
        <f aca="true" t="shared" si="8" ref="F47:F65">IF(B47&lt;=$C$12,POWER((1+$C$13),(B47*-1)),"-")</f>
        <v>-</v>
      </c>
      <c r="G47" s="253">
        <f t="shared" si="3"/>
        <v>0</v>
      </c>
      <c r="H47" s="252" t="str">
        <f aca="true" t="shared" si="9" ref="H47:H65">IF(B47&lt;=$C$12,POWER((1+$G$68),(B47*-1)),"-")</f>
        <v>-</v>
      </c>
      <c r="I47" s="253">
        <f t="shared" si="4"/>
        <v>0</v>
      </c>
      <c r="J47" s="253">
        <f t="shared" si="7"/>
        <v>0</v>
      </c>
    </row>
    <row r="48" spans="2:10" ht="18" hidden="1">
      <c r="B48" s="248">
        <f aca="true" t="shared" si="10" ref="B48:B65">B47+1</f>
        <v>33</v>
      </c>
      <c r="C48" s="249">
        <v>0</v>
      </c>
      <c r="D48" s="250">
        <v>0</v>
      </c>
      <c r="E48" s="251">
        <f t="shared" si="6"/>
        <v>0</v>
      </c>
      <c r="F48" s="252" t="str">
        <f t="shared" si="8"/>
        <v>-</v>
      </c>
      <c r="G48" s="253">
        <f aca="true" t="shared" si="11" ref="G48:G65">PV($C$13,B48,0,E48)*-1</f>
        <v>0</v>
      </c>
      <c r="H48" s="252" t="str">
        <f t="shared" si="9"/>
        <v>-</v>
      </c>
      <c r="I48" s="253">
        <f aca="true" t="shared" si="12" ref="I48:I65">PV($G$68,B48,0,E48)*-1</f>
        <v>0</v>
      </c>
      <c r="J48" s="253">
        <f t="shared" si="7"/>
        <v>0</v>
      </c>
    </row>
    <row r="49" spans="2:10" ht="18" hidden="1">
      <c r="B49" s="248">
        <f t="shared" si="10"/>
        <v>34</v>
      </c>
      <c r="C49" s="249">
        <v>0</v>
      </c>
      <c r="D49" s="250">
        <v>0</v>
      </c>
      <c r="E49" s="251">
        <f t="shared" si="6"/>
        <v>0</v>
      </c>
      <c r="F49" s="252" t="str">
        <f t="shared" si="8"/>
        <v>-</v>
      </c>
      <c r="G49" s="253">
        <f t="shared" si="11"/>
        <v>0</v>
      </c>
      <c r="H49" s="252" t="str">
        <f t="shared" si="9"/>
        <v>-</v>
      </c>
      <c r="I49" s="253">
        <f t="shared" si="12"/>
        <v>0</v>
      </c>
      <c r="J49" s="253">
        <f t="shared" si="7"/>
        <v>0</v>
      </c>
    </row>
    <row r="50" spans="2:10" ht="18" hidden="1">
      <c r="B50" s="248">
        <f t="shared" si="10"/>
        <v>35</v>
      </c>
      <c r="C50" s="249">
        <v>0</v>
      </c>
      <c r="D50" s="250">
        <v>0</v>
      </c>
      <c r="E50" s="251">
        <f t="shared" si="6"/>
        <v>0</v>
      </c>
      <c r="F50" s="252" t="str">
        <f t="shared" si="8"/>
        <v>-</v>
      </c>
      <c r="G50" s="253">
        <f t="shared" si="11"/>
        <v>0</v>
      </c>
      <c r="H50" s="252" t="str">
        <f t="shared" si="9"/>
        <v>-</v>
      </c>
      <c r="I50" s="253">
        <f t="shared" si="12"/>
        <v>0</v>
      </c>
      <c r="J50" s="253">
        <f t="shared" si="7"/>
        <v>0</v>
      </c>
    </row>
    <row r="51" spans="2:10" ht="18" hidden="1">
      <c r="B51" s="248">
        <f t="shared" si="10"/>
        <v>36</v>
      </c>
      <c r="C51" s="249">
        <v>0</v>
      </c>
      <c r="D51" s="250">
        <v>0</v>
      </c>
      <c r="E51" s="251">
        <f t="shared" si="6"/>
        <v>0</v>
      </c>
      <c r="F51" s="252" t="str">
        <f t="shared" si="8"/>
        <v>-</v>
      </c>
      <c r="G51" s="253">
        <f t="shared" si="11"/>
        <v>0</v>
      </c>
      <c r="H51" s="252" t="str">
        <f t="shared" si="9"/>
        <v>-</v>
      </c>
      <c r="I51" s="253">
        <f t="shared" si="12"/>
        <v>0</v>
      </c>
      <c r="J51" s="253">
        <f t="shared" si="7"/>
        <v>0</v>
      </c>
    </row>
    <row r="52" spans="2:10" ht="18" hidden="1">
      <c r="B52" s="248">
        <f t="shared" si="10"/>
        <v>37</v>
      </c>
      <c r="C52" s="249">
        <v>0</v>
      </c>
      <c r="D52" s="250">
        <v>0</v>
      </c>
      <c r="E52" s="251">
        <f t="shared" si="6"/>
        <v>0</v>
      </c>
      <c r="F52" s="252" t="str">
        <f t="shared" si="8"/>
        <v>-</v>
      </c>
      <c r="G52" s="253">
        <f t="shared" si="11"/>
        <v>0</v>
      </c>
      <c r="H52" s="252" t="str">
        <f t="shared" si="9"/>
        <v>-</v>
      </c>
      <c r="I52" s="253">
        <f t="shared" si="12"/>
        <v>0</v>
      </c>
      <c r="J52" s="253">
        <f t="shared" si="7"/>
        <v>0</v>
      </c>
    </row>
    <row r="53" spans="2:10" ht="18" hidden="1">
      <c r="B53" s="248">
        <f t="shared" si="10"/>
        <v>38</v>
      </c>
      <c r="C53" s="249">
        <v>0</v>
      </c>
      <c r="D53" s="250">
        <v>0</v>
      </c>
      <c r="E53" s="251">
        <f t="shared" si="6"/>
        <v>0</v>
      </c>
      <c r="F53" s="252" t="str">
        <f t="shared" si="8"/>
        <v>-</v>
      </c>
      <c r="G53" s="253">
        <f t="shared" si="11"/>
        <v>0</v>
      </c>
      <c r="H53" s="252" t="str">
        <f t="shared" si="9"/>
        <v>-</v>
      </c>
      <c r="I53" s="253">
        <f t="shared" si="12"/>
        <v>0</v>
      </c>
      <c r="J53" s="253">
        <f t="shared" si="7"/>
        <v>0</v>
      </c>
    </row>
    <row r="54" spans="2:10" ht="18" hidden="1">
      <c r="B54" s="248">
        <f t="shared" si="10"/>
        <v>39</v>
      </c>
      <c r="C54" s="249">
        <v>0</v>
      </c>
      <c r="D54" s="250">
        <v>0</v>
      </c>
      <c r="E54" s="251">
        <f t="shared" si="6"/>
        <v>0</v>
      </c>
      <c r="F54" s="252" t="str">
        <f t="shared" si="8"/>
        <v>-</v>
      </c>
      <c r="G54" s="253">
        <f t="shared" si="11"/>
        <v>0</v>
      </c>
      <c r="H54" s="252" t="str">
        <f t="shared" si="9"/>
        <v>-</v>
      </c>
      <c r="I54" s="253">
        <f t="shared" si="12"/>
        <v>0</v>
      </c>
      <c r="J54" s="253">
        <f t="shared" si="7"/>
        <v>0</v>
      </c>
    </row>
    <row r="55" spans="2:10" ht="18" hidden="1">
      <c r="B55" s="248">
        <f t="shared" si="10"/>
        <v>40</v>
      </c>
      <c r="C55" s="249">
        <v>0</v>
      </c>
      <c r="D55" s="250">
        <v>0</v>
      </c>
      <c r="E55" s="251">
        <f t="shared" si="6"/>
        <v>0</v>
      </c>
      <c r="F55" s="252" t="str">
        <f t="shared" si="8"/>
        <v>-</v>
      </c>
      <c r="G55" s="253">
        <f t="shared" si="11"/>
        <v>0</v>
      </c>
      <c r="H55" s="252" t="str">
        <f t="shared" si="9"/>
        <v>-</v>
      </c>
      <c r="I55" s="253">
        <f t="shared" si="12"/>
        <v>0</v>
      </c>
      <c r="J55" s="253">
        <f t="shared" si="7"/>
        <v>0</v>
      </c>
    </row>
    <row r="56" spans="2:10" ht="18" hidden="1">
      <c r="B56" s="248">
        <f t="shared" si="10"/>
        <v>41</v>
      </c>
      <c r="C56" s="249">
        <v>0</v>
      </c>
      <c r="D56" s="250">
        <v>0</v>
      </c>
      <c r="E56" s="251">
        <f t="shared" si="6"/>
        <v>0</v>
      </c>
      <c r="F56" s="252" t="str">
        <f t="shared" si="8"/>
        <v>-</v>
      </c>
      <c r="G56" s="253">
        <f t="shared" si="11"/>
        <v>0</v>
      </c>
      <c r="H56" s="252" t="str">
        <f t="shared" si="9"/>
        <v>-</v>
      </c>
      <c r="I56" s="253">
        <f t="shared" si="12"/>
        <v>0</v>
      </c>
      <c r="J56" s="253">
        <f t="shared" si="7"/>
        <v>0</v>
      </c>
    </row>
    <row r="57" spans="2:10" ht="18" hidden="1">
      <c r="B57" s="248">
        <f t="shared" si="10"/>
        <v>42</v>
      </c>
      <c r="C57" s="249">
        <v>0</v>
      </c>
      <c r="D57" s="250">
        <v>0</v>
      </c>
      <c r="E57" s="251">
        <f t="shared" si="6"/>
        <v>0</v>
      </c>
      <c r="F57" s="252" t="str">
        <f t="shared" si="8"/>
        <v>-</v>
      </c>
      <c r="G57" s="253">
        <f t="shared" si="11"/>
        <v>0</v>
      </c>
      <c r="H57" s="252" t="str">
        <f t="shared" si="9"/>
        <v>-</v>
      </c>
      <c r="I57" s="253">
        <f t="shared" si="12"/>
        <v>0</v>
      </c>
      <c r="J57" s="253">
        <f t="shared" si="7"/>
        <v>0</v>
      </c>
    </row>
    <row r="58" spans="2:10" ht="18" hidden="1">
      <c r="B58" s="248">
        <f t="shared" si="10"/>
        <v>43</v>
      </c>
      <c r="C58" s="249">
        <v>0</v>
      </c>
      <c r="D58" s="250">
        <v>0</v>
      </c>
      <c r="E58" s="251">
        <f t="shared" si="6"/>
        <v>0</v>
      </c>
      <c r="F58" s="252" t="str">
        <f t="shared" si="8"/>
        <v>-</v>
      </c>
      <c r="G58" s="253">
        <f t="shared" si="11"/>
        <v>0</v>
      </c>
      <c r="H58" s="252" t="str">
        <f t="shared" si="9"/>
        <v>-</v>
      </c>
      <c r="I58" s="253">
        <f t="shared" si="12"/>
        <v>0</v>
      </c>
      <c r="J58" s="253">
        <f t="shared" si="7"/>
        <v>0</v>
      </c>
    </row>
    <row r="59" spans="2:10" ht="18" hidden="1">
      <c r="B59" s="248">
        <f t="shared" si="10"/>
        <v>44</v>
      </c>
      <c r="C59" s="249">
        <v>0</v>
      </c>
      <c r="D59" s="250">
        <v>0</v>
      </c>
      <c r="E59" s="251">
        <f t="shared" si="6"/>
        <v>0</v>
      </c>
      <c r="F59" s="252" t="str">
        <f t="shared" si="8"/>
        <v>-</v>
      </c>
      <c r="G59" s="253">
        <f t="shared" si="11"/>
        <v>0</v>
      </c>
      <c r="H59" s="252" t="str">
        <f t="shared" si="9"/>
        <v>-</v>
      </c>
      <c r="I59" s="253">
        <f t="shared" si="12"/>
        <v>0</v>
      </c>
      <c r="J59" s="253">
        <f t="shared" si="7"/>
        <v>0</v>
      </c>
    </row>
    <row r="60" spans="2:10" ht="18" hidden="1">
      <c r="B60" s="248">
        <f t="shared" si="10"/>
        <v>45</v>
      </c>
      <c r="C60" s="249">
        <v>0</v>
      </c>
      <c r="D60" s="250">
        <v>0</v>
      </c>
      <c r="E60" s="251">
        <f t="shared" si="6"/>
        <v>0</v>
      </c>
      <c r="F60" s="252" t="str">
        <f t="shared" si="8"/>
        <v>-</v>
      </c>
      <c r="G60" s="253">
        <f t="shared" si="11"/>
        <v>0</v>
      </c>
      <c r="H60" s="252" t="str">
        <f t="shared" si="9"/>
        <v>-</v>
      </c>
      <c r="I60" s="253">
        <f t="shared" si="12"/>
        <v>0</v>
      </c>
      <c r="J60" s="253">
        <f t="shared" si="7"/>
        <v>0</v>
      </c>
    </row>
    <row r="61" spans="2:10" ht="18" hidden="1">
      <c r="B61" s="248">
        <f t="shared" si="10"/>
        <v>46</v>
      </c>
      <c r="C61" s="249">
        <v>0</v>
      </c>
      <c r="D61" s="250">
        <v>0</v>
      </c>
      <c r="E61" s="251">
        <f t="shared" si="6"/>
        <v>0</v>
      </c>
      <c r="F61" s="252" t="str">
        <f t="shared" si="8"/>
        <v>-</v>
      </c>
      <c r="G61" s="253">
        <f t="shared" si="11"/>
        <v>0</v>
      </c>
      <c r="H61" s="252" t="str">
        <f t="shared" si="9"/>
        <v>-</v>
      </c>
      <c r="I61" s="253">
        <f t="shared" si="12"/>
        <v>0</v>
      </c>
      <c r="J61" s="253">
        <f t="shared" si="7"/>
        <v>0</v>
      </c>
    </row>
    <row r="62" spans="2:10" ht="18" hidden="1">
      <c r="B62" s="248">
        <f t="shared" si="10"/>
        <v>47</v>
      </c>
      <c r="C62" s="249">
        <v>0</v>
      </c>
      <c r="D62" s="250">
        <v>0</v>
      </c>
      <c r="E62" s="251">
        <f t="shared" si="6"/>
        <v>0</v>
      </c>
      <c r="F62" s="252" t="str">
        <f t="shared" si="8"/>
        <v>-</v>
      </c>
      <c r="G62" s="253">
        <f t="shared" si="11"/>
        <v>0</v>
      </c>
      <c r="H62" s="252" t="str">
        <f t="shared" si="9"/>
        <v>-</v>
      </c>
      <c r="I62" s="253">
        <f t="shared" si="12"/>
        <v>0</v>
      </c>
      <c r="J62" s="253">
        <f t="shared" si="7"/>
        <v>0</v>
      </c>
    </row>
    <row r="63" spans="2:10" ht="18" hidden="1">
      <c r="B63" s="248">
        <f t="shared" si="10"/>
        <v>48</v>
      </c>
      <c r="C63" s="249">
        <v>0</v>
      </c>
      <c r="D63" s="250">
        <v>0</v>
      </c>
      <c r="E63" s="251">
        <f t="shared" si="6"/>
        <v>0</v>
      </c>
      <c r="F63" s="252" t="str">
        <f t="shared" si="8"/>
        <v>-</v>
      </c>
      <c r="G63" s="253">
        <f t="shared" si="11"/>
        <v>0</v>
      </c>
      <c r="H63" s="252" t="str">
        <f t="shared" si="9"/>
        <v>-</v>
      </c>
      <c r="I63" s="253">
        <f t="shared" si="12"/>
        <v>0</v>
      </c>
      <c r="J63" s="253">
        <f t="shared" si="7"/>
        <v>0</v>
      </c>
    </row>
    <row r="64" spans="2:10" ht="18" hidden="1">
      <c r="B64" s="248">
        <f t="shared" si="10"/>
        <v>49</v>
      </c>
      <c r="C64" s="249">
        <v>0</v>
      </c>
      <c r="D64" s="250">
        <v>0</v>
      </c>
      <c r="E64" s="251">
        <f t="shared" si="6"/>
        <v>0</v>
      </c>
      <c r="F64" s="252" t="str">
        <f t="shared" si="8"/>
        <v>-</v>
      </c>
      <c r="G64" s="253">
        <f t="shared" si="11"/>
        <v>0</v>
      </c>
      <c r="H64" s="252" t="str">
        <f t="shared" si="9"/>
        <v>-</v>
      </c>
      <c r="I64" s="253">
        <f t="shared" si="12"/>
        <v>0</v>
      </c>
      <c r="J64" s="253">
        <f t="shared" si="7"/>
        <v>0</v>
      </c>
    </row>
    <row r="65" spans="2:10" ht="18.75" hidden="1" thickBot="1">
      <c r="B65" s="255">
        <f t="shared" si="10"/>
        <v>50</v>
      </c>
      <c r="C65" s="256">
        <v>0</v>
      </c>
      <c r="D65" s="257">
        <v>0</v>
      </c>
      <c r="E65" s="258">
        <f t="shared" si="6"/>
        <v>0</v>
      </c>
      <c r="F65" s="259" t="str">
        <f t="shared" si="8"/>
        <v>-</v>
      </c>
      <c r="G65" s="260">
        <f t="shared" si="11"/>
        <v>0</v>
      </c>
      <c r="H65" s="259" t="str">
        <f t="shared" si="9"/>
        <v>-</v>
      </c>
      <c r="I65" s="260">
        <f t="shared" si="12"/>
        <v>0</v>
      </c>
      <c r="J65" s="260">
        <f t="shared" si="7"/>
        <v>0</v>
      </c>
    </row>
    <row r="66" spans="2:10" ht="18.75" thickBot="1">
      <c r="B66" s="261" t="s">
        <v>239</v>
      </c>
      <c r="C66" s="262"/>
      <c r="D66" s="262"/>
      <c r="E66" s="262"/>
      <c r="F66" s="262"/>
      <c r="G66" s="263">
        <f>SUM(G15:G65)</f>
        <v>101198.41835403898</v>
      </c>
      <c r="H66" s="264"/>
      <c r="I66" s="265">
        <f>SUM(I15:I65)</f>
        <v>9.74978320300579E-10</v>
      </c>
      <c r="J66" s="3"/>
    </row>
    <row r="67" spans="2:10" ht="18.75" thickBot="1">
      <c r="B67" s="266" t="s">
        <v>240</v>
      </c>
      <c r="C67" s="267"/>
      <c r="D67" s="267"/>
      <c r="E67" s="267"/>
      <c r="F67" s="267"/>
      <c r="G67" s="268">
        <f>J16</f>
        <v>34022.32103735482</v>
      </c>
      <c r="H67" s="269"/>
      <c r="I67" s="269"/>
      <c r="J67" s="3"/>
    </row>
    <row r="68" spans="1:10" ht="18.75" thickBot="1">
      <c r="A68" t="s">
        <v>241</v>
      </c>
      <c r="B68" s="270" t="s">
        <v>242</v>
      </c>
      <c r="C68" s="271"/>
      <c r="D68" s="271"/>
      <c r="E68" s="271"/>
      <c r="F68" s="271"/>
      <c r="G68" s="272">
        <f>IRR(E15:E65)</f>
        <v>0.2303430917423505</v>
      </c>
      <c r="H68" s="273"/>
      <c r="I68" s="273"/>
      <c r="J68" s="3"/>
    </row>
    <row r="69" spans="2:10" ht="18.75" thickBot="1">
      <c r="B69" s="261" t="s">
        <v>243</v>
      </c>
      <c r="C69" s="262"/>
      <c r="D69" s="262"/>
      <c r="E69" s="262"/>
      <c r="F69" s="262"/>
      <c r="G69" s="274">
        <f>NPER(C13,G71,G15,0)</f>
        <v>3.103814964652857</v>
      </c>
      <c r="H69" s="275"/>
      <c r="I69" s="275"/>
      <c r="J69" s="3"/>
    </row>
    <row r="70" spans="2:9" ht="12.75" hidden="1">
      <c r="B70" s="12" t="s">
        <v>244</v>
      </c>
      <c r="G70" s="276">
        <f>SUM(G16:G65)</f>
        <v>551198.4183540391</v>
      </c>
      <c r="H70" s="276"/>
      <c r="I70" s="276"/>
    </row>
    <row r="71" spans="2:9" ht="12.75" hidden="1">
      <c r="B71" s="12" t="s">
        <v>245</v>
      </c>
      <c r="G71" s="277">
        <f>PMT(C13,C12,G70,0)*-1</f>
        <v>185309.70987033087</v>
      </c>
      <c r="H71" s="277"/>
      <c r="I71" s="277"/>
    </row>
    <row r="73" spans="1:2" ht="18">
      <c r="A73" t="s">
        <v>241</v>
      </c>
      <c r="B73" s="3" t="s">
        <v>246</v>
      </c>
    </row>
    <row r="74" spans="2:7" ht="78" customHeight="1">
      <c r="B74" s="445" t="str">
        <f>CONCATENATE("Da nutidsværdien er ",IF(G66&gt;=0,"positiv med ","negativ med "),"kr. ",ROUND(G66,0)," er investeringen ",IF(G66&gt;=0,"rentabel ","ikke rentabel "),"og bør ",IF(G66&gt;=0,"foretages. ","ikke foretages. "),"Den interne rente er på ",ROUND(G68,4)*100," hvilket er ",IF(ROUND((G68-C13),4)*100&gt;0,ROUND((G68-C13),4)*100,ROUND((G68-C13),4)*-100)," %-point ",IF(C13&lt;=G68,"over ","under "),"kalkulationsrenten på ",ROUND(C13,2)*100," %. ","Hvis man omregner nutidsværdien til en annuitet bliver det årlige ",IF(G66&gt;=0,"overskud ","underskud "),"på kr. ",ROUND(G67,0),". ","Både den ",IF(G66&gt;=0,"postive ","negative "),"nutidsværdi og det at den interne rente er ",IF(G66&gt;=0,"over ","under "),"kalkulationsrenten bekræfter os i at investeringen ",IF(G66&gt;=0,"bør foretages.","ikke bør foretages."))</f>
        <v>Da nutidsværdien er positiv med kr. 101198 er investeringen rentabel og bør foretages. Den interne rente er på 23,03 hvilket er 10,03 %-point over kalkulationsrenten på 13 %. Hvis man omregner nutidsværdien til en annuitet bliver det årlige overskud på kr. 34022. Både den postive nutidsværdi og det at den interne rente er over kalkulationsrenten bekræfter os i at investeringen bør foretages.</v>
      </c>
      <c r="C74" s="445"/>
      <c r="D74" s="445"/>
      <c r="E74" s="445"/>
      <c r="F74" s="445"/>
      <c r="G74" s="445"/>
    </row>
    <row r="75" spans="2:3" ht="23.25">
      <c r="B75" s="278" t="s">
        <v>247</v>
      </c>
      <c r="C75" s="87"/>
    </row>
    <row r="76" spans="2:3" ht="12.75">
      <c r="B76" s="87"/>
      <c r="C76" s="87"/>
    </row>
  </sheetData>
  <sheetProtection/>
  <mergeCells count="2">
    <mergeCell ref="B1:D1"/>
    <mergeCell ref="B74:G74"/>
  </mergeCells>
  <printOptions/>
  <pageMargins left="0.7874015748031497" right="0.3937007874015748" top="0.984251968503937" bottom="0.984251968503937" header="0" footer="0"/>
  <pageSetup fitToHeight="1" fitToWidth="1"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1">
      <selection activeCell="D12" sqref="D12"/>
    </sheetView>
  </sheetViews>
  <sheetFormatPr defaultColWidth="9.140625" defaultRowHeight="12.75"/>
  <cols>
    <col min="1" max="1" width="5.421875" style="0" customWidth="1"/>
    <col min="2" max="2" width="9.28125" style="0" customWidth="1"/>
    <col min="3" max="3" width="16.140625" style="0" customWidth="1"/>
    <col min="4" max="4" width="20.7109375" style="0" customWidth="1"/>
    <col min="5" max="5" width="28.28125" style="0" customWidth="1"/>
    <col min="6" max="6" width="27.7109375" style="0" customWidth="1"/>
    <col min="7" max="7" width="28.28125" style="0" customWidth="1"/>
    <col min="8" max="8" width="24.7109375" style="0" hidden="1" customWidth="1"/>
    <col min="9" max="9" width="24.8515625" style="0" customWidth="1"/>
    <col min="10" max="10" width="24.140625" style="0" customWidth="1"/>
  </cols>
  <sheetData>
    <row r="1" spans="2:5" ht="25.5">
      <c r="B1" s="443" t="s">
        <v>227</v>
      </c>
      <c r="C1" s="444"/>
      <c r="D1" s="444"/>
      <c r="E1" s="232" t="s">
        <v>248</v>
      </c>
    </row>
    <row r="2" spans="2:6" ht="23.25">
      <c r="B2" s="233" t="s">
        <v>229</v>
      </c>
      <c r="C2" s="233">
        <v>50</v>
      </c>
      <c r="D2" s="233">
        <v>10000</v>
      </c>
      <c r="E2" s="234">
        <f>C2*D2</f>
        <v>500000</v>
      </c>
      <c r="F2" s="233"/>
    </row>
    <row r="3" spans="2:6" ht="23.25">
      <c r="B3" s="233" t="s">
        <v>212</v>
      </c>
      <c r="C3" s="233">
        <v>25</v>
      </c>
      <c r="D3" s="233">
        <v>10000</v>
      </c>
      <c r="E3" s="234">
        <f>C3*D3</f>
        <v>250000</v>
      </c>
      <c r="F3" s="233"/>
    </row>
    <row r="4" spans="2:6" ht="23.25">
      <c r="B4" s="233" t="s">
        <v>230</v>
      </c>
      <c r="C4" s="233"/>
      <c r="D4" s="233"/>
      <c r="E4" s="234">
        <f>E2-E3</f>
        <v>250000</v>
      </c>
      <c r="F4" s="233"/>
    </row>
    <row r="5" spans="2:6" ht="23.25">
      <c r="B5" s="233" t="s">
        <v>231</v>
      </c>
      <c r="C5" s="233"/>
      <c r="D5" s="233"/>
      <c r="E5" s="234">
        <v>40000</v>
      </c>
      <c r="F5" s="233"/>
    </row>
    <row r="6" spans="2:6" ht="23.25">
      <c r="B6" s="233" t="s">
        <v>232</v>
      </c>
      <c r="C6" s="233"/>
      <c r="D6" s="233"/>
      <c r="E6" s="234">
        <f>E4-E5</f>
        <v>210000</v>
      </c>
      <c r="F6" s="233"/>
    </row>
    <row r="7" spans="2:6" ht="23.25" hidden="1">
      <c r="B7" s="233"/>
      <c r="C7" s="233"/>
      <c r="D7" s="233"/>
      <c r="E7" s="233"/>
      <c r="F7" s="233"/>
    </row>
    <row r="8" spans="2:6" ht="23.25" hidden="1">
      <c r="B8" s="233"/>
      <c r="C8" s="233"/>
      <c r="D8" s="233"/>
      <c r="E8" s="233"/>
      <c r="F8" s="233"/>
    </row>
    <row r="9" spans="2:6" ht="23.25" hidden="1">
      <c r="B9" s="233"/>
      <c r="C9" s="233"/>
      <c r="D9" s="233"/>
      <c r="E9" s="233"/>
      <c r="F9" s="233"/>
    </row>
    <row r="10" spans="5:6" ht="23.25" hidden="1">
      <c r="E10" s="233"/>
      <c r="F10" s="233"/>
    </row>
    <row r="11" ht="18" hidden="1">
      <c r="B11" s="1"/>
    </row>
    <row r="12" spans="2:3" ht="15.75">
      <c r="B12" s="235" t="s">
        <v>233</v>
      </c>
      <c r="C12" s="236">
        <v>4</v>
      </c>
    </row>
    <row r="13" spans="2:3" ht="16.5" thickBot="1">
      <c r="B13" s="235" t="s">
        <v>234</v>
      </c>
      <c r="C13" s="237">
        <v>0.13</v>
      </c>
    </row>
    <row r="14" spans="2:10" ht="64.5" customHeight="1" thickBot="1">
      <c r="B14" s="238" t="s">
        <v>235</v>
      </c>
      <c r="C14" s="239" t="s">
        <v>236</v>
      </c>
      <c r="D14" s="240" t="s">
        <v>237</v>
      </c>
      <c r="E14" s="238" t="s">
        <v>238</v>
      </c>
      <c r="F14" s="241" t="s">
        <v>301</v>
      </c>
      <c r="G14" s="238" t="s">
        <v>302</v>
      </c>
      <c r="H14" s="238" t="s">
        <v>303</v>
      </c>
      <c r="I14" s="241" t="str">
        <f>CONCATENATE("Nutidsværdien ved den interne rente (IRR) ",(ROUND(G68,4)*100)," %")</f>
        <v>Nutidsværdien ved den interne rente (IRR) 19,79 %</v>
      </c>
      <c r="J14" s="241" t="s">
        <v>304</v>
      </c>
    </row>
    <row r="15" spans="2:10" ht="18">
      <c r="B15" s="242">
        <v>0</v>
      </c>
      <c r="C15" s="243">
        <v>0</v>
      </c>
      <c r="D15" s="244">
        <v>575000</v>
      </c>
      <c r="E15" s="245">
        <f>C15-D15</f>
        <v>-575000</v>
      </c>
      <c r="F15" s="246">
        <f aca="true" t="shared" si="0" ref="F15:F46">IF(B15&lt;=$C$12,POWER((1+$C$13),(B15*-1)),"-")</f>
        <v>1</v>
      </c>
      <c r="G15" s="247">
        <f>E15</f>
        <v>-575000</v>
      </c>
      <c r="H15" s="246">
        <f aca="true" t="shared" si="1" ref="H15:H46">IF(B15&lt;=$C$12,POWER((1+$G$68),(B15*-1)),"-")</f>
        <v>1</v>
      </c>
      <c r="I15" s="247">
        <f>G15</f>
        <v>-575000</v>
      </c>
      <c r="J15" s="242"/>
    </row>
    <row r="16" spans="2:10" ht="18">
      <c r="B16" s="248">
        <f aca="true" t="shared" si="2" ref="B16:B47">B15+1</f>
        <v>1</v>
      </c>
      <c r="C16" s="249">
        <f>$E$6</f>
        <v>210000</v>
      </c>
      <c r="D16" s="250">
        <v>0</v>
      </c>
      <c r="E16" s="251">
        <f>C16-D16</f>
        <v>210000</v>
      </c>
      <c r="F16" s="252">
        <f t="shared" si="0"/>
        <v>0.8849557522123894</v>
      </c>
      <c r="G16" s="253">
        <f aca="true" t="shared" si="3" ref="G16:G47">PV($C$13,B16,0,E16)*-1</f>
        <v>185840.70796460178</v>
      </c>
      <c r="H16" s="252">
        <f t="shared" si="1"/>
        <v>0.8348287984232421</v>
      </c>
      <c r="I16" s="253">
        <f aca="true" t="shared" si="4" ref="I16:I47">PV($G$68,B16,0,E16)*-1</f>
        <v>175314.04766888084</v>
      </c>
      <c r="J16" s="253">
        <f>PMT($C$13,$C$12,$G$66)*-1</f>
        <v>29059.98833559435</v>
      </c>
    </row>
    <row r="17" spans="2:10" ht="18">
      <c r="B17" s="248">
        <f t="shared" si="2"/>
        <v>2</v>
      </c>
      <c r="C17" s="249">
        <f>$E$6</f>
        <v>210000</v>
      </c>
      <c r="D17" s="250">
        <v>0</v>
      </c>
      <c r="E17" s="251">
        <f>C17-D17</f>
        <v>210000</v>
      </c>
      <c r="F17" s="252">
        <f t="shared" si="0"/>
        <v>0.7831466833737961</v>
      </c>
      <c r="G17" s="253">
        <f t="shared" si="3"/>
        <v>164460.8035084972</v>
      </c>
      <c r="H17" s="252">
        <f t="shared" si="1"/>
        <v>0.6969391226767941</v>
      </c>
      <c r="I17" s="253">
        <f t="shared" si="4"/>
        <v>146357.21576212675</v>
      </c>
      <c r="J17" s="253">
        <f aca="true" t="shared" si="5" ref="J17:J22">IF(B17&lt;=$C$12,$J$16,0)</f>
        <v>29059.98833559435</v>
      </c>
    </row>
    <row r="18" spans="2:10" ht="18">
      <c r="B18" s="248">
        <f t="shared" si="2"/>
        <v>3</v>
      </c>
      <c r="C18" s="249">
        <f>$E$6</f>
        <v>210000</v>
      </c>
      <c r="D18" s="250">
        <v>0</v>
      </c>
      <c r="E18" s="251">
        <f>C18-D18</f>
        <v>210000</v>
      </c>
      <c r="F18" s="252">
        <f t="shared" si="0"/>
        <v>0.6930501622776958</v>
      </c>
      <c r="G18" s="253">
        <f t="shared" si="3"/>
        <v>145540.53407831612</v>
      </c>
      <c r="H18" s="252">
        <f t="shared" si="1"/>
        <v>0.5818248503584166</v>
      </c>
      <c r="I18" s="253">
        <f t="shared" si="4"/>
        <v>122183.21857526747</v>
      </c>
      <c r="J18" s="253">
        <f t="shared" si="5"/>
        <v>29059.98833559435</v>
      </c>
    </row>
    <row r="19" spans="2:10" ht="18.75" thickBot="1">
      <c r="B19" s="255">
        <f t="shared" si="2"/>
        <v>4</v>
      </c>
      <c r="C19" s="256">
        <f>$E$6+60000</f>
        <v>270000</v>
      </c>
      <c r="D19" s="257">
        <v>0</v>
      </c>
      <c r="E19" s="258">
        <f>C19-D19</f>
        <v>270000</v>
      </c>
      <c r="F19" s="259">
        <f t="shared" si="0"/>
        <v>0.6133187276793768</v>
      </c>
      <c r="G19" s="260">
        <f t="shared" si="3"/>
        <v>165596.05647343173</v>
      </c>
      <c r="H19" s="259">
        <f t="shared" si="1"/>
        <v>0.4857241407174994</v>
      </c>
      <c r="I19" s="260">
        <f t="shared" si="4"/>
        <v>131145.51799372485</v>
      </c>
      <c r="J19" s="260">
        <f t="shared" si="5"/>
        <v>29059.98833559435</v>
      </c>
    </row>
    <row r="20" spans="2:10" ht="18" hidden="1">
      <c r="B20" s="248">
        <f t="shared" si="2"/>
        <v>5</v>
      </c>
      <c r="C20" s="249">
        <v>0</v>
      </c>
      <c r="D20" s="250">
        <v>0</v>
      </c>
      <c r="E20" s="251">
        <f>(C20-D20)</f>
        <v>0</v>
      </c>
      <c r="F20" s="252" t="str">
        <f t="shared" si="0"/>
        <v>-</v>
      </c>
      <c r="G20" s="253">
        <f t="shared" si="3"/>
        <v>0</v>
      </c>
      <c r="H20" s="252" t="str">
        <f t="shared" si="1"/>
        <v>-</v>
      </c>
      <c r="I20" s="253">
        <f t="shared" si="4"/>
        <v>0</v>
      </c>
      <c r="J20" s="253">
        <f t="shared" si="5"/>
        <v>0</v>
      </c>
    </row>
    <row r="21" spans="2:10" ht="18" hidden="1">
      <c r="B21" s="248">
        <f t="shared" si="2"/>
        <v>6</v>
      </c>
      <c r="C21" s="249">
        <v>0</v>
      </c>
      <c r="D21" s="250">
        <v>0</v>
      </c>
      <c r="E21" s="251">
        <f aca="true" t="shared" si="6" ref="E21:E65">C21-D21</f>
        <v>0</v>
      </c>
      <c r="F21" s="252" t="str">
        <f t="shared" si="0"/>
        <v>-</v>
      </c>
      <c r="G21" s="253">
        <f t="shared" si="3"/>
        <v>0</v>
      </c>
      <c r="H21" s="252" t="str">
        <f t="shared" si="1"/>
        <v>-</v>
      </c>
      <c r="I21" s="253">
        <f t="shared" si="4"/>
        <v>0</v>
      </c>
      <c r="J21" s="253">
        <f t="shared" si="5"/>
        <v>0</v>
      </c>
    </row>
    <row r="22" spans="2:10" ht="18" hidden="1">
      <c r="B22" s="248">
        <f t="shared" si="2"/>
        <v>7</v>
      </c>
      <c r="C22" s="249">
        <v>0</v>
      </c>
      <c r="D22" s="250">
        <v>0</v>
      </c>
      <c r="E22" s="251">
        <f t="shared" si="6"/>
        <v>0</v>
      </c>
      <c r="F22" s="252" t="str">
        <f t="shared" si="0"/>
        <v>-</v>
      </c>
      <c r="G22" s="253">
        <f t="shared" si="3"/>
        <v>0</v>
      </c>
      <c r="H22" s="252" t="str">
        <f t="shared" si="1"/>
        <v>-</v>
      </c>
      <c r="I22" s="253">
        <f t="shared" si="4"/>
        <v>0</v>
      </c>
      <c r="J22" s="253">
        <f t="shared" si="5"/>
        <v>0</v>
      </c>
    </row>
    <row r="23" spans="2:12" ht="18" hidden="1">
      <c r="B23" s="248">
        <f t="shared" si="2"/>
        <v>8</v>
      </c>
      <c r="C23" s="249">
        <v>0</v>
      </c>
      <c r="D23" s="250">
        <v>0</v>
      </c>
      <c r="E23" s="251">
        <f t="shared" si="6"/>
        <v>0</v>
      </c>
      <c r="F23" s="252" t="str">
        <f t="shared" si="0"/>
        <v>-</v>
      </c>
      <c r="G23" s="253">
        <f t="shared" si="3"/>
        <v>0</v>
      </c>
      <c r="H23" s="252" t="str">
        <f t="shared" si="1"/>
        <v>-</v>
      </c>
      <c r="I23" s="253">
        <f t="shared" si="4"/>
        <v>0</v>
      </c>
      <c r="J23" s="253">
        <f aca="true" t="shared" si="7" ref="J23:J65">IF(B22&lt;=$C$12,$J$16,0)</f>
        <v>0</v>
      </c>
      <c r="L23" s="254"/>
    </row>
    <row r="24" spans="2:10" ht="18" hidden="1">
      <c r="B24" s="248">
        <f t="shared" si="2"/>
        <v>9</v>
      </c>
      <c r="C24" s="249">
        <v>0</v>
      </c>
      <c r="D24" s="250">
        <v>0</v>
      </c>
      <c r="E24" s="251">
        <f t="shared" si="6"/>
        <v>0</v>
      </c>
      <c r="F24" s="252" t="str">
        <f t="shared" si="0"/>
        <v>-</v>
      </c>
      <c r="G24" s="253">
        <f t="shared" si="3"/>
        <v>0</v>
      </c>
      <c r="H24" s="252" t="str">
        <f t="shared" si="1"/>
        <v>-</v>
      </c>
      <c r="I24" s="253">
        <f t="shared" si="4"/>
        <v>0</v>
      </c>
      <c r="J24" s="253">
        <f t="shared" si="7"/>
        <v>0</v>
      </c>
    </row>
    <row r="25" spans="2:10" ht="18" hidden="1">
      <c r="B25" s="248">
        <f t="shared" si="2"/>
        <v>10</v>
      </c>
      <c r="C25" s="249">
        <v>0</v>
      </c>
      <c r="D25" s="250">
        <v>0</v>
      </c>
      <c r="E25" s="251">
        <f t="shared" si="6"/>
        <v>0</v>
      </c>
      <c r="F25" s="252" t="str">
        <f t="shared" si="0"/>
        <v>-</v>
      </c>
      <c r="G25" s="253">
        <f t="shared" si="3"/>
        <v>0</v>
      </c>
      <c r="H25" s="252" t="str">
        <f t="shared" si="1"/>
        <v>-</v>
      </c>
      <c r="I25" s="253">
        <f t="shared" si="4"/>
        <v>0</v>
      </c>
      <c r="J25" s="253">
        <f t="shared" si="7"/>
        <v>0</v>
      </c>
    </row>
    <row r="26" spans="2:10" ht="18" hidden="1">
      <c r="B26" s="248">
        <f t="shared" si="2"/>
        <v>11</v>
      </c>
      <c r="C26" s="249">
        <v>0</v>
      </c>
      <c r="D26" s="250">
        <v>0</v>
      </c>
      <c r="E26" s="251">
        <f t="shared" si="6"/>
        <v>0</v>
      </c>
      <c r="F26" s="252" t="str">
        <f t="shared" si="0"/>
        <v>-</v>
      </c>
      <c r="G26" s="253">
        <f t="shared" si="3"/>
        <v>0</v>
      </c>
      <c r="H26" s="252" t="str">
        <f t="shared" si="1"/>
        <v>-</v>
      </c>
      <c r="I26" s="253">
        <f t="shared" si="4"/>
        <v>0</v>
      </c>
      <c r="J26" s="253">
        <f t="shared" si="7"/>
        <v>0</v>
      </c>
    </row>
    <row r="27" spans="2:10" ht="18" hidden="1">
      <c r="B27" s="248">
        <f t="shared" si="2"/>
        <v>12</v>
      </c>
      <c r="C27" s="249">
        <v>0</v>
      </c>
      <c r="D27" s="250">
        <v>0</v>
      </c>
      <c r="E27" s="251">
        <f t="shared" si="6"/>
        <v>0</v>
      </c>
      <c r="F27" s="252" t="str">
        <f t="shared" si="0"/>
        <v>-</v>
      </c>
      <c r="G27" s="253">
        <f t="shared" si="3"/>
        <v>0</v>
      </c>
      <c r="H27" s="252" t="str">
        <f t="shared" si="1"/>
        <v>-</v>
      </c>
      <c r="I27" s="253">
        <f t="shared" si="4"/>
        <v>0</v>
      </c>
      <c r="J27" s="253">
        <f t="shared" si="7"/>
        <v>0</v>
      </c>
    </row>
    <row r="28" spans="2:12" ht="18" hidden="1">
      <c r="B28" s="248">
        <f t="shared" si="2"/>
        <v>13</v>
      </c>
      <c r="C28" s="249">
        <v>0</v>
      </c>
      <c r="D28" s="250">
        <v>0</v>
      </c>
      <c r="E28" s="251">
        <f t="shared" si="6"/>
        <v>0</v>
      </c>
      <c r="F28" s="252" t="str">
        <f t="shared" si="0"/>
        <v>-</v>
      </c>
      <c r="G28" s="253">
        <f t="shared" si="3"/>
        <v>0</v>
      </c>
      <c r="H28" s="252" t="str">
        <f t="shared" si="1"/>
        <v>-</v>
      </c>
      <c r="I28" s="253">
        <f t="shared" si="4"/>
        <v>0</v>
      </c>
      <c r="J28" s="253">
        <f t="shared" si="7"/>
        <v>0</v>
      </c>
      <c r="L28" s="254"/>
    </row>
    <row r="29" spans="2:10" ht="18" hidden="1">
      <c r="B29" s="248">
        <f t="shared" si="2"/>
        <v>14</v>
      </c>
      <c r="C29" s="249">
        <v>0</v>
      </c>
      <c r="D29" s="250">
        <v>0</v>
      </c>
      <c r="E29" s="251">
        <f t="shared" si="6"/>
        <v>0</v>
      </c>
      <c r="F29" s="252" t="str">
        <f t="shared" si="0"/>
        <v>-</v>
      </c>
      <c r="G29" s="253">
        <f t="shared" si="3"/>
        <v>0</v>
      </c>
      <c r="H29" s="252" t="str">
        <f t="shared" si="1"/>
        <v>-</v>
      </c>
      <c r="I29" s="253">
        <f t="shared" si="4"/>
        <v>0</v>
      </c>
      <c r="J29" s="253">
        <f t="shared" si="7"/>
        <v>0</v>
      </c>
    </row>
    <row r="30" spans="2:10" ht="18.75" hidden="1" thickBot="1">
      <c r="B30" s="255">
        <f t="shared" si="2"/>
        <v>15</v>
      </c>
      <c r="C30" s="256">
        <v>0</v>
      </c>
      <c r="D30" s="257">
        <v>0</v>
      </c>
      <c r="E30" s="258">
        <f t="shared" si="6"/>
        <v>0</v>
      </c>
      <c r="F30" s="259" t="str">
        <f t="shared" si="0"/>
        <v>-</v>
      </c>
      <c r="G30" s="260">
        <f t="shared" si="3"/>
        <v>0</v>
      </c>
      <c r="H30" s="259" t="str">
        <f t="shared" si="1"/>
        <v>-</v>
      </c>
      <c r="I30" s="260">
        <f t="shared" si="4"/>
        <v>0</v>
      </c>
      <c r="J30" s="260">
        <f t="shared" si="7"/>
        <v>0</v>
      </c>
    </row>
    <row r="31" spans="2:10" ht="18" hidden="1">
      <c r="B31" s="248">
        <f t="shared" si="2"/>
        <v>16</v>
      </c>
      <c r="C31" s="249">
        <v>0</v>
      </c>
      <c r="D31" s="250">
        <v>0</v>
      </c>
      <c r="E31" s="251">
        <f t="shared" si="6"/>
        <v>0</v>
      </c>
      <c r="F31" s="252" t="str">
        <f t="shared" si="0"/>
        <v>-</v>
      </c>
      <c r="G31" s="253">
        <f t="shared" si="3"/>
        <v>0</v>
      </c>
      <c r="H31" s="252" t="str">
        <f t="shared" si="1"/>
        <v>-</v>
      </c>
      <c r="I31" s="253">
        <f t="shared" si="4"/>
        <v>0</v>
      </c>
      <c r="J31" s="253">
        <f t="shared" si="7"/>
        <v>0</v>
      </c>
    </row>
    <row r="32" spans="2:10" ht="18" hidden="1">
      <c r="B32" s="248">
        <f t="shared" si="2"/>
        <v>17</v>
      </c>
      <c r="C32" s="249">
        <v>0</v>
      </c>
      <c r="D32" s="250">
        <v>0</v>
      </c>
      <c r="E32" s="251">
        <f t="shared" si="6"/>
        <v>0</v>
      </c>
      <c r="F32" s="252" t="str">
        <f t="shared" si="0"/>
        <v>-</v>
      </c>
      <c r="G32" s="253">
        <f t="shared" si="3"/>
        <v>0</v>
      </c>
      <c r="H32" s="252" t="str">
        <f t="shared" si="1"/>
        <v>-</v>
      </c>
      <c r="I32" s="253">
        <f t="shared" si="4"/>
        <v>0</v>
      </c>
      <c r="J32" s="253">
        <f t="shared" si="7"/>
        <v>0</v>
      </c>
    </row>
    <row r="33" spans="2:10" ht="18" hidden="1">
      <c r="B33" s="248">
        <f t="shared" si="2"/>
        <v>18</v>
      </c>
      <c r="C33" s="249">
        <v>0</v>
      </c>
      <c r="D33" s="250">
        <v>0</v>
      </c>
      <c r="E33" s="251">
        <f t="shared" si="6"/>
        <v>0</v>
      </c>
      <c r="F33" s="252" t="str">
        <f t="shared" si="0"/>
        <v>-</v>
      </c>
      <c r="G33" s="253">
        <f t="shared" si="3"/>
        <v>0</v>
      </c>
      <c r="H33" s="252" t="str">
        <f t="shared" si="1"/>
        <v>-</v>
      </c>
      <c r="I33" s="253">
        <f t="shared" si="4"/>
        <v>0</v>
      </c>
      <c r="J33" s="253">
        <f t="shared" si="7"/>
        <v>0</v>
      </c>
    </row>
    <row r="34" spans="2:10" ht="18" hidden="1">
      <c r="B34" s="248">
        <f t="shared" si="2"/>
        <v>19</v>
      </c>
      <c r="C34" s="249">
        <v>0</v>
      </c>
      <c r="D34" s="250">
        <v>0</v>
      </c>
      <c r="E34" s="251">
        <f t="shared" si="6"/>
        <v>0</v>
      </c>
      <c r="F34" s="252" t="str">
        <f t="shared" si="0"/>
        <v>-</v>
      </c>
      <c r="G34" s="253">
        <f t="shared" si="3"/>
        <v>0</v>
      </c>
      <c r="H34" s="252" t="str">
        <f t="shared" si="1"/>
        <v>-</v>
      </c>
      <c r="I34" s="253">
        <f t="shared" si="4"/>
        <v>0</v>
      </c>
      <c r="J34" s="253">
        <f t="shared" si="7"/>
        <v>0</v>
      </c>
    </row>
    <row r="35" spans="2:10" ht="18" hidden="1">
      <c r="B35" s="248">
        <f t="shared" si="2"/>
        <v>20</v>
      </c>
      <c r="C35" s="249">
        <v>0</v>
      </c>
      <c r="D35" s="250">
        <v>0</v>
      </c>
      <c r="E35" s="251">
        <f t="shared" si="6"/>
        <v>0</v>
      </c>
      <c r="F35" s="252" t="str">
        <f t="shared" si="0"/>
        <v>-</v>
      </c>
      <c r="G35" s="253">
        <f t="shared" si="3"/>
        <v>0</v>
      </c>
      <c r="H35" s="252" t="str">
        <f t="shared" si="1"/>
        <v>-</v>
      </c>
      <c r="I35" s="253">
        <f t="shared" si="4"/>
        <v>0</v>
      </c>
      <c r="J35" s="253">
        <f t="shared" si="7"/>
        <v>0</v>
      </c>
    </row>
    <row r="36" spans="2:10" ht="18" hidden="1">
      <c r="B36" s="248">
        <f t="shared" si="2"/>
        <v>21</v>
      </c>
      <c r="C36" s="249">
        <v>0</v>
      </c>
      <c r="D36" s="250">
        <v>0</v>
      </c>
      <c r="E36" s="251">
        <f t="shared" si="6"/>
        <v>0</v>
      </c>
      <c r="F36" s="252" t="str">
        <f t="shared" si="0"/>
        <v>-</v>
      </c>
      <c r="G36" s="253">
        <f t="shared" si="3"/>
        <v>0</v>
      </c>
      <c r="H36" s="252" t="str">
        <f t="shared" si="1"/>
        <v>-</v>
      </c>
      <c r="I36" s="253">
        <f t="shared" si="4"/>
        <v>0</v>
      </c>
      <c r="J36" s="253">
        <f t="shared" si="7"/>
        <v>0</v>
      </c>
    </row>
    <row r="37" spans="2:10" ht="18" hidden="1">
      <c r="B37" s="248">
        <f t="shared" si="2"/>
        <v>22</v>
      </c>
      <c r="C37" s="249">
        <v>0</v>
      </c>
      <c r="D37" s="250">
        <v>0</v>
      </c>
      <c r="E37" s="251">
        <f t="shared" si="6"/>
        <v>0</v>
      </c>
      <c r="F37" s="252" t="str">
        <f t="shared" si="0"/>
        <v>-</v>
      </c>
      <c r="G37" s="253">
        <f t="shared" si="3"/>
        <v>0</v>
      </c>
      <c r="H37" s="252" t="str">
        <f t="shared" si="1"/>
        <v>-</v>
      </c>
      <c r="I37" s="253">
        <f t="shared" si="4"/>
        <v>0</v>
      </c>
      <c r="J37" s="253">
        <f t="shared" si="7"/>
        <v>0</v>
      </c>
    </row>
    <row r="38" spans="2:10" ht="18" hidden="1">
      <c r="B38" s="248">
        <f t="shared" si="2"/>
        <v>23</v>
      </c>
      <c r="C38" s="249">
        <v>0</v>
      </c>
      <c r="D38" s="250">
        <v>0</v>
      </c>
      <c r="E38" s="251">
        <f t="shared" si="6"/>
        <v>0</v>
      </c>
      <c r="F38" s="252" t="str">
        <f t="shared" si="0"/>
        <v>-</v>
      </c>
      <c r="G38" s="253">
        <f t="shared" si="3"/>
        <v>0</v>
      </c>
      <c r="H38" s="252" t="str">
        <f t="shared" si="1"/>
        <v>-</v>
      </c>
      <c r="I38" s="253">
        <f t="shared" si="4"/>
        <v>0</v>
      </c>
      <c r="J38" s="253">
        <f t="shared" si="7"/>
        <v>0</v>
      </c>
    </row>
    <row r="39" spans="2:10" ht="18" hidden="1">
      <c r="B39" s="248">
        <f t="shared" si="2"/>
        <v>24</v>
      </c>
      <c r="C39" s="249">
        <v>0</v>
      </c>
      <c r="D39" s="250">
        <v>0</v>
      </c>
      <c r="E39" s="251">
        <f t="shared" si="6"/>
        <v>0</v>
      </c>
      <c r="F39" s="252" t="str">
        <f t="shared" si="0"/>
        <v>-</v>
      </c>
      <c r="G39" s="253">
        <f t="shared" si="3"/>
        <v>0</v>
      </c>
      <c r="H39" s="252" t="str">
        <f t="shared" si="1"/>
        <v>-</v>
      </c>
      <c r="I39" s="253">
        <f t="shared" si="4"/>
        <v>0</v>
      </c>
      <c r="J39" s="253">
        <f t="shared" si="7"/>
        <v>0</v>
      </c>
    </row>
    <row r="40" spans="2:10" ht="18" hidden="1">
      <c r="B40" s="248">
        <f t="shared" si="2"/>
        <v>25</v>
      </c>
      <c r="C40" s="249">
        <v>0</v>
      </c>
      <c r="D40" s="250">
        <v>0</v>
      </c>
      <c r="E40" s="251">
        <f t="shared" si="6"/>
        <v>0</v>
      </c>
      <c r="F40" s="252" t="str">
        <f t="shared" si="0"/>
        <v>-</v>
      </c>
      <c r="G40" s="253">
        <f t="shared" si="3"/>
        <v>0</v>
      </c>
      <c r="H40" s="252" t="str">
        <f t="shared" si="1"/>
        <v>-</v>
      </c>
      <c r="I40" s="253">
        <f t="shared" si="4"/>
        <v>0</v>
      </c>
      <c r="J40" s="253">
        <f t="shared" si="7"/>
        <v>0</v>
      </c>
    </row>
    <row r="41" spans="2:10" ht="18" hidden="1">
      <c r="B41" s="248">
        <f t="shared" si="2"/>
        <v>26</v>
      </c>
      <c r="C41" s="249">
        <v>0</v>
      </c>
      <c r="D41" s="250">
        <v>0</v>
      </c>
      <c r="E41" s="251">
        <f t="shared" si="6"/>
        <v>0</v>
      </c>
      <c r="F41" s="252" t="str">
        <f t="shared" si="0"/>
        <v>-</v>
      </c>
      <c r="G41" s="253">
        <f t="shared" si="3"/>
        <v>0</v>
      </c>
      <c r="H41" s="252" t="str">
        <f t="shared" si="1"/>
        <v>-</v>
      </c>
      <c r="I41" s="253">
        <f t="shared" si="4"/>
        <v>0</v>
      </c>
      <c r="J41" s="253">
        <f t="shared" si="7"/>
        <v>0</v>
      </c>
    </row>
    <row r="42" spans="2:10" ht="18" hidden="1">
      <c r="B42" s="248">
        <f t="shared" si="2"/>
        <v>27</v>
      </c>
      <c r="C42" s="249">
        <v>0</v>
      </c>
      <c r="D42" s="250">
        <v>0</v>
      </c>
      <c r="E42" s="251">
        <f t="shared" si="6"/>
        <v>0</v>
      </c>
      <c r="F42" s="252" t="str">
        <f t="shared" si="0"/>
        <v>-</v>
      </c>
      <c r="G42" s="253">
        <f t="shared" si="3"/>
        <v>0</v>
      </c>
      <c r="H42" s="252" t="str">
        <f t="shared" si="1"/>
        <v>-</v>
      </c>
      <c r="I42" s="253">
        <f t="shared" si="4"/>
        <v>0</v>
      </c>
      <c r="J42" s="253">
        <f t="shared" si="7"/>
        <v>0</v>
      </c>
    </row>
    <row r="43" spans="2:10" ht="18" hidden="1">
      <c r="B43" s="248">
        <f t="shared" si="2"/>
        <v>28</v>
      </c>
      <c r="C43" s="249">
        <v>0</v>
      </c>
      <c r="D43" s="250">
        <v>0</v>
      </c>
      <c r="E43" s="251">
        <f t="shared" si="6"/>
        <v>0</v>
      </c>
      <c r="F43" s="252" t="str">
        <f t="shared" si="0"/>
        <v>-</v>
      </c>
      <c r="G43" s="253">
        <f t="shared" si="3"/>
        <v>0</v>
      </c>
      <c r="H43" s="252" t="str">
        <f t="shared" si="1"/>
        <v>-</v>
      </c>
      <c r="I43" s="253">
        <f t="shared" si="4"/>
        <v>0</v>
      </c>
      <c r="J43" s="253">
        <f t="shared" si="7"/>
        <v>0</v>
      </c>
    </row>
    <row r="44" spans="2:10" ht="18" hidden="1">
      <c r="B44" s="248">
        <f t="shared" si="2"/>
        <v>29</v>
      </c>
      <c r="C44" s="249">
        <v>0</v>
      </c>
      <c r="D44" s="250">
        <v>0</v>
      </c>
      <c r="E44" s="251">
        <f t="shared" si="6"/>
        <v>0</v>
      </c>
      <c r="F44" s="252" t="str">
        <f t="shared" si="0"/>
        <v>-</v>
      </c>
      <c r="G44" s="253">
        <f t="shared" si="3"/>
        <v>0</v>
      </c>
      <c r="H44" s="252" t="str">
        <f t="shared" si="1"/>
        <v>-</v>
      </c>
      <c r="I44" s="253">
        <f t="shared" si="4"/>
        <v>0</v>
      </c>
      <c r="J44" s="253">
        <f t="shared" si="7"/>
        <v>0</v>
      </c>
    </row>
    <row r="45" spans="2:10" ht="18" hidden="1">
      <c r="B45" s="248">
        <f t="shared" si="2"/>
        <v>30</v>
      </c>
      <c r="C45" s="249">
        <v>0</v>
      </c>
      <c r="D45" s="250">
        <v>0</v>
      </c>
      <c r="E45" s="251">
        <f t="shared" si="6"/>
        <v>0</v>
      </c>
      <c r="F45" s="252" t="str">
        <f t="shared" si="0"/>
        <v>-</v>
      </c>
      <c r="G45" s="253">
        <f t="shared" si="3"/>
        <v>0</v>
      </c>
      <c r="H45" s="252" t="str">
        <f t="shared" si="1"/>
        <v>-</v>
      </c>
      <c r="I45" s="253">
        <f t="shared" si="4"/>
        <v>0</v>
      </c>
      <c r="J45" s="253">
        <f t="shared" si="7"/>
        <v>0</v>
      </c>
    </row>
    <row r="46" spans="2:10" ht="18" hidden="1">
      <c r="B46" s="248">
        <f t="shared" si="2"/>
        <v>31</v>
      </c>
      <c r="C46" s="249">
        <v>0</v>
      </c>
      <c r="D46" s="250">
        <v>0</v>
      </c>
      <c r="E46" s="251">
        <f t="shared" si="6"/>
        <v>0</v>
      </c>
      <c r="F46" s="252" t="str">
        <f t="shared" si="0"/>
        <v>-</v>
      </c>
      <c r="G46" s="253">
        <f t="shared" si="3"/>
        <v>0</v>
      </c>
      <c r="H46" s="252" t="str">
        <f t="shared" si="1"/>
        <v>-</v>
      </c>
      <c r="I46" s="253">
        <f t="shared" si="4"/>
        <v>0</v>
      </c>
      <c r="J46" s="253">
        <f t="shared" si="7"/>
        <v>0</v>
      </c>
    </row>
    <row r="47" spans="2:10" ht="18" hidden="1">
      <c r="B47" s="248">
        <f t="shared" si="2"/>
        <v>32</v>
      </c>
      <c r="C47" s="249">
        <v>0</v>
      </c>
      <c r="D47" s="250">
        <v>0</v>
      </c>
      <c r="E47" s="251">
        <f t="shared" si="6"/>
        <v>0</v>
      </c>
      <c r="F47" s="252" t="str">
        <f aca="true" t="shared" si="8" ref="F47:F65">IF(B47&lt;=$C$12,POWER((1+$C$13),(B47*-1)),"-")</f>
        <v>-</v>
      </c>
      <c r="G47" s="253">
        <f t="shared" si="3"/>
        <v>0</v>
      </c>
      <c r="H47" s="252" t="str">
        <f aca="true" t="shared" si="9" ref="H47:H65">IF(B47&lt;=$C$12,POWER((1+$G$68),(B47*-1)),"-")</f>
        <v>-</v>
      </c>
      <c r="I47" s="253">
        <f t="shared" si="4"/>
        <v>0</v>
      </c>
      <c r="J47" s="253">
        <f t="shared" si="7"/>
        <v>0</v>
      </c>
    </row>
    <row r="48" spans="2:10" ht="18" hidden="1">
      <c r="B48" s="248">
        <f aca="true" t="shared" si="10" ref="B48:B65">B47+1</f>
        <v>33</v>
      </c>
      <c r="C48" s="249">
        <v>0</v>
      </c>
      <c r="D48" s="250">
        <v>0</v>
      </c>
      <c r="E48" s="251">
        <f t="shared" si="6"/>
        <v>0</v>
      </c>
      <c r="F48" s="252" t="str">
        <f t="shared" si="8"/>
        <v>-</v>
      </c>
      <c r="G48" s="253">
        <f aca="true" t="shared" si="11" ref="G48:G65">PV($C$13,B48,0,E48)*-1</f>
        <v>0</v>
      </c>
      <c r="H48" s="252" t="str">
        <f t="shared" si="9"/>
        <v>-</v>
      </c>
      <c r="I48" s="253">
        <f aca="true" t="shared" si="12" ref="I48:I65">PV($G$68,B48,0,E48)*-1</f>
        <v>0</v>
      </c>
      <c r="J48" s="253">
        <f t="shared" si="7"/>
        <v>0</v>
      </c>
    </row>
    <row r="49" spans="2:10" ht="18" hidden="1">
      <c r="B49" s="248">
        <f t="shared" si="10"/>
        <v>34</v>
      </c>
      <c r="C49" s="249">
        <v>0</v>
      </c>
      <c r="D49" s="250">
        <v>0</v>
      </c>
      <c r="E49" s="251">
        <f t="shared" si="6"/>
        <v>0</v>
      </c>
      <c r="F49" s="252" t="str">
        <f t="shared" si="8"/>
        <v>-</v>
      </c>
      <c r="G49" s="253">
        <f t="shared" si="11"/>
        <v>0</v>
      </c>
      <c r="H49" s="252" t="str">
        <f t="shared" si="9"/>
        <v>-</v>
      </c>
      <c r="I49" s="253">
        <f t="shared" si="12"/>
        <v>0</v>
      </c>
      <c r="J49" s="253">
        <f t="shared" si="7"/>
        <v>0</v>
      </c>
    </row>
    <row r="50" spans="2:10" ht="18" hidden="1">
      <c r="B50" s="248">
        <f t="shared" si="10"/>
        <v>35</v>
      </c>
      <c r="C50" s="249">
        <v>0</v>
      </c>
      <c r="D50" s="250">
        <v>0</v>
      </c>
      <c r="E50" s="251">
        <f t="shared" si="6"/>
        <v>0</v>
      </c>
      <c r="F50" s="252" t="str">
        <f t="shared" si="8"/>
        <v>-</v>
      </c>
      <c r="G50" s="253">
        <f t="shared" si="11"/>
        <v>0</v>
      </c>
      <c r="H50" s="252" t="str">
        <f t="shared" si="9"/>
        <v>-</v>
      </c>
      <c r="I50" s="253">
        <f t="shared" si="12"/>
        <v>0</v>
      </c>
      <c r="J50" s="253">
        <f t="shared" si="7"/>
        <v>0</v>
      </c>
    </row>
    <row r="51" spans="2:10" ht="18" hidden="1">
      <c r="B51" s="248">
        <f t="shared" si="10"/>
        <v>36</v>
      </c>
      <c r="C51" s="249">
        <v>0</v>
      </c>
      <c r="D51" s="250">
        <v>0</v>
      </c>
      <c r="E51" s="251">
        <f t="shared" si="6"/>
        <v>0</v>
      </c>
      <c r="F51" s="252" t="str">
        <f t="shared" si="8"/>
        <v>-</v>
      </c>
      <c r="G51" s="253">
        <f t="shared" si="11"/>
        <v>0</v>
      </c>
      <c r="H51" s="252" t="str">
        <f t="shared" si="9"/>
        <v>-</v>
      </c>
      <c r="I51" s="253">
        <f t="shared" si="12"/>
        <v>0</v>
      </c>
      <c r="J51" s="253">
        <f t="shared" si="7"/>
        <v>0</v>
      </c>
    </row>
    <row r="52" spans="2:10" ht="18" hidden="1">
      <c r="B52" s="248">
        <f t="shared" si="10"/>
        <v>37</v>
      </c>
      <c r="C52" s="249">
        <v>0</v>
      </c>
      <c r="D52" s="250">
        <v>0</v>
      </c>
      <c r="E52" s="251">
        <f t="shared" si="6"/>
        <v>0</v>
      </c>
      <c r="F52" s="252" t="str">
        <f t="shared" si="8"/>
        <v>-</v>
      </c>
      <c r="G52" s="253">
        <f t="shared" si="11"/>
        <v>0</v>
      </c>
      <c r="H52" s="252" t="str">
        <f t="shared" si="9"/>
        <v>-</v>
      </c>
      <c r="I52" s="253">
        <f t="shared" si="12"/>
        <v>0</v>
      </c>
      <c r="J52" s="253">
        <f t="shared" si="7"/>
        <v>0</v>
      </c>
    </row>
    <row r="53" spans="2:10" ht="18" hidden="1">
      <c r="B53" s="248">
        <f t="shared" si="10"/>
        <v>38</v>
      </c>
      <c r="C53" s="249">
        <v>0</v>
      </c>
      <c r="D53" s="250">
        <v>0</v>
      </c>
      <c r="E53" s="251">
        <f t="shared" si="6"/>
        <v>0</v>
      </c>
      <c r="F53" s="252" t="str">
        <f t="shared" si="8"/>
        <v>-</v>
      </c>
      <c r="G53" s="253">
        <f t="shared" si="11"/>
        <v>0</v>
      </c>
      <c r="H53" s="252" t="str">
        <f t="shared" si="9"/>
        <v>-</v>
      </c>
      <c r="I53" s="253">
        <f t="shared" si="12"/>
        <v>0</v>
      </c>
      <c r="J53" s="253">
        <f t="shared" si="7"/>
        <v>0</v>
      </c>
    </row>
    <row r="54" spans="2:10" ht="18" hidden="1">
      <c r="B54" s="248">
        <f t="shared" si="10"/>
        <v>39</v>
      </c>
      <c r="C54" s="249">
        <v>0</v>
      </c>
      <c r="D54" s="250">
        <v>0</v>
      </c>
      <c r="E54" s="251">
        <f t="shared" si="6"/>
        <v>0</v>
      </c>
      <c r="F54" s="252" t="str">
        <f t="shared" si="8"/>
        <v>-</v>
      </c>
      <c r="G54" s="253">
        <f t="shared" si="11"/>
        <v>0</v>
      </c>
      <c r="H54" s="252" t="str">
        <f t="shared" si="9"/>
        <v>-</v>
      </c>
      <c r="I54" s="253">
        <f t="shared" si="12"/>
        <v>0</v>
      </c>
      <c r="J54" s="253">
        <f t="shared" si="7"/>
        <v>0</v>
      </c>
    </row>
    <row r="55" spans="2:10" ht="18" hidden="1">
      <c r="B55" s="248">
        <f t="shared" si="10"/>
        <v>40</v>
      </c>
      <c r="C55" s="249">
        <v>0</v>
      </c>
      <c r="D55" s="250">
        <v>0</v>
      </c>
      <c r="E55" s="251">
        <f t="shared" si="6"/>
        <v>0</v>
      </c>
      <c r="F55" s="252" t="str">
        <f t="shared" si="8"/>
        <v>-</v>
      </c>
      <c r="G55" s="253">
        <f t="shared" si="11"/>
        <v>0</v>
      </c>
      <c r="H55" s="252" t="str">
        <f t="shared" si="9"/>
        <v>-</v>
      </c>
      <c r="I55" s="253">
        <f t="shared" si="12"/>
        <v>0</v>
      </c>
      <c r="J55" s="253">
        <f t="shared" si="7"/>
        <v>0</v>
      </c>
    </row>
    <row r="56" spans="2:10" ht="18" hidden="1">
      <c r="B56" s="248">
        <f t="shared" si="10"/>
        <v>41</v>
      </c>
      <c r="C56" s="249">
        <v>0</v>
      </c>
      <c r="D56" s="250">
        <v>0</v>
      </c>
      <c r="E56" s="251">
        <f t="shared" si="6"/>
        <v>0</v>
      </c>
      <c r="F56" s="252" t="str">
        <f t="shared" si="8"/>
        <v>-</v>
      </c>
      <c r="G56" s="253">
        <f t="shared" si="11"/>
        <v>0</v>
      </c>
      <c r="H56" s="252" t="str">
        <f t="shared" si="9"/>
        <v>-</v>
      </c>
      <c r="I56" s="253">
        <f t="shared" si="12"/>
        <v>0</v>
      </c>
      <c r="J56" s="253">
        <f t="shared" si="7"/>
        <v>0</v>
      </c>
    </row>
    <row r="57" spans="2:10" ht="18" hidden="1">
      <c r="B57" s="248">
        <f t="shared" si="10"/>
        <v>42</v>
      </c>
      <c r="C57" s="249">
        <v>0</v>
      </c>
      <c r="D57" s="250">
        <v>0</v>
      </c>
      <c r="E57" s="251">
        <f t="shared" si="6"/>
        <v>0</v>
      </c>
      <c r="F57" s="252" t="str">
        <f t="shared" si="8"/>
        <v>-</v>
      </c>
      <c r="G57" s="253">
        <f t="shared" si="11"/>
        <v>0</v>
      </c>
      <c r="H57" s="252" t="str">
        <f t="shared" si="9"/>
        <v>-</v>
      </c>
      <c r="I57" s="253">
        <f t="shared" si="12"/>
        <v>0</v>
      </c>
      <c r="J57" s="253">
        <f t="shared" si="7"/>
        <v>0</v>
      </c>
    </row>
    <row r="58" spans="2:10" ht="18" hidden="1">
      <c r="B58" s="248">
        <f t="shared" si="10"/>
        <v>43</v>
      </c>
      <c r="C58" s="249">
        <v>0</v>
      </c>
      <c r="D58" s="250">
        <v>0</v>
      </c>
      <c r="E58" s="251">
        <f t="shared" si="6"/>
        <v>0</v>
      </c>
      <c r="F58" s="252" t="str">
        <f t="shared" si="8"/>
        <v>-</v>
      </c>
      <c r="G58" s="253">
        <f t="shared" si="11"/>
        <v>0</v>
      </c>
      <c r="H58" s="252" t="str">
        <f t="shared" si="9"/>
        <v>-</v>
      </c>
      <c r="I58" s="253">
        <f t="shared" si="12"/>
        <v>0</v>
      </c>
      <c r="J58" s="253">
        <f t="shared" si="7"/>
        <v>0</v>
      </c>
    </row>
    <row r="59" spans="2:10" ht="18" hidden="1">
      <c r="B59" s="248">
        <f t="shared" si="10"/>
        <v>44</v>
      </c>
      <c r="C59" s="249">
        <v>0</v>
      </c>
      <c r="D59" s="250">
        <v>0</v>
      </c>
      <c r="E59" s="251">
        <f t="shared" si="6"/>
        <v>0</v>
      </c>
      <c r="F59" s="252" t="str">
        <f t="shared" si="8"/>
        <v>-</v>
      </c>
      <c r="G59" s="253">
        <f t="shared" si="11"/>
        <v>0</v>
      </c>
      <c r="H59" s="252" t="str">
        <f t="shared" si="9"/>
        <v>-</v>
      </c>
      <c r="I59" s="253">
        <f t="shared" si="12"/>
        <v>0</v>
      </c>
      <c r="J59" s="253">
        <f t="shared" si="7"/>
        <v>0</v>
      </c>
    </row>
    <row r="60" spans="2:10" ht="18" hidden="1">
      <c r="B60" s="248">
        <f t="shared" si="10"/>
        <v>45</v>
      </c>
      <c r="C60" s="249">
        <v>0</v>
      </c>
      <c r="D60" s="250">
        <v>0</v>
      </c>
      <c r="E60" s="251">
        <f t="shared" si="6"/>
        <v>0</v>
      </c>
      <c r="F60" s="252" t="str">
        <f t="shared" si="8"/>
        <v>-</v>
      </c>
      <c r="G60" s="253">
        <f t="shared" si="11"/>
        <v>0</v>
      </c>
      <c r="H60" s="252" t="str">
        <f t="shared" si="9"/>
        <v>-</v>
      </c>
      <c r="I60" s="253">
        <f t="shared" si="12"/>
        <v>0</v>
      </c>
      <c r="J60" s="253">
        <f t="shared" si="7"/>
        <v>0</v>
      </c>
    </row>
    <row r="61" spans="2:10" ht="18" hidden="1">
      <c r="B61" s="248">
        <f t="shared" si="10"/>
        <v>46</v>
      </c>
      <c r="C61" s="249">
        <v>0</v>
      </c>
      <c r="D61" s="250">
        <v>0</v>
      </c>
      <c r="E61" s="251">
        <f t="shared" si="6"/>
        <v>0</v>
      </c>
      <c r="F61" s="252" t="str">
        <f t="shared" si="8"/>
        <v>-</v>
      </c>
      <c r="G61" s="253">
        <f t="shared" si="11"/>
        <v>0</v>
      </c>
      <c r="H61" s="252" t="str">
        <f t="shared" si="9"/>
        <v>-</v>
      </c>
      <c r="I61" s="253">
        <f t="shared" si="12"/>
        <v>0</v>
      </c>
      <c r="J61" s="253">
        <f t="shared" si="7"/>
        <v>0</v>
      </c>
    </row>
    <row r="62" spans="2:10" ht="18" hidden="1">
      <c r="B62" s="248">
        <f t="shared" si="10"/>
        <v>47</v>
      </c>
      <c r="C62" s="249">
        <v>0</v>
      </c>
      <c r="D62" s="250">
        <v>0</v>
      </c>
      <c r="E62" s="251">
        <f t="shared" si="6"/>
        <v>0</v>
      </c>
      <c r="F62" s="252" t="str">
        <f t="shared" si="8"/>
        <v>-</v>
      </c>
      <c r="G62" s="253">
        <f t="shared" si="11"/>
        <v>0</v>
      </c>
      <c r="H62" s="252" t="str">
        <f t="shared" si="9"/>
        <v>-</v>
      </c>
      <c r="I62" s="253">
        <f t="shared" si="12"/>
        <v>0</v>
      </c>
      <c r="J62" s="253">
        <f t="shared" si="7"/>
        <v>0</v>
      </c>
    </row>
    <row r="63" spans="2:10" ht="18" hidden="1">
      <c r="B63" s="248">
        <f t="shared" si="10"/>
        <v>48</v>
      </c>
      <c r="C63" s="249">
        <v>0</v>
      </c>
      <c r="D63" s="250">
        <v>0</v>
      </c>
      <c r="E63" s="251">
        <f t="shared" si="6"/>
        <v>0</v>
      </c>
      <c r="F63" s="252" t="str">
        <f t="shared" si="8"/>
        <v>-</v>
      </c>
      <c r="G63" s="253">
        <f t="shared" si="11"/>
        <v>0</v>
      </c>
      <c r="H63" s="252" t="str">
        <f t="shared" si="9"/>
        <v>-</v>
      </c>
      <c r="I63" s="253">
        <f t="shared" si="12"/>
        <v>0</v>
      </c>
      <c r="J63" s="253">
        <f t="shared" si="7"/>
        <v>0</v>
      </c>
    </row>
    <row r="64" spans="2:10" ht="18" hidden="1">
      <c r="B64" s="248">
        <f t="shared" si="10"/>
        <v>49</v>
      </c>
      <c r="C64" s="249">
        <v>0</v>
      </c>
      <c r="D64" s="250">
        <v>0</v>
      </c>
      <c r="E64" s="251">
        <f t="shared" si="6"/>
        <v>0</v>
      </c>
      <c r="F64" s="252" t="str">
        <f t="shared" si="8"/>
        <v>-</v>
      </c>
      <c r="G64" s="253">
        <f t="shared" si="11"/>
        <v>0</v>
      </c>
      <c r="H64" s="252" t="str">
        <f t="shared" si="9"/>
        <v>-</v>
      </c>
      <c r="I64" s="253">
        <f t="shared" si="12"/>
        <v>0</v>
      </c>
      <c r="J64" s="253">
        <f t="shared" si="7"/>
        <v>0</v>
      </c>
    </row>
    <row r="65" spans="2:10" ht="18.75" hidden="1" thickBot="1">
      <c r="B65" s="255">
        <f t="shared" si="10"/>
        <v>50</v>
      </c>
      <c r="C65" s="256">
        <v>0</v>
      </c>
      <c r="D65" s="257">
        <v>0</v>
      </c>
      <c r="E65" s="258">
        <f t="shared" si="6"/>
        <v>0</v>
      </c>
      <c r="F65" s="259" t="str">
        <f t="shared" si="8"/>
        <v>-</v>
      </c>
      <c r="G65" s="260">
        <f t="shared" si="11"/>
        <v>0</v>
      </c>
      <c r="H65" s="259" t="str">
        <f t="shared" si="9"/>
        <v>-</v>
      </c>
      <c r="I65" s="260">
        <f t="shared" si="12"/>
        <v>0</v>
      </c>
      <c r="J65" s="260">
        <f t="shared" si="7"/>
        <v>0</v>
      </c>
    </row>
    <row r="66" spans="2:10" ht="18.75" thickBot="1">
      <c r="B66" s="261" t="s">
        <v>239</v>
      </c>
      <c r="C66" s="262"/>
      <c r="D66" s="262"/>
      <c r="E66" s="262"/>
      <c r="F66" s="262"/>
      <c r="G66" s="263">
        <f>SUM(G15:G65)</f>
        <v>86438.10202484686</v>
      </c>
      <c r="H66" s="264"/>
      <c r="I66" s="265">
        <f>SUM(I15:I65)</f>
        <v>-8.731149137020111E-11</v>
      </c>
      <c r="J66" s="3"/>
    </row>
    <row r="67" spans="2:10" ht="18.75" thickBot="1">
      <c r="B67" s="266" t="s">
        <v>240</v>
      </c>
      <c r="C67" s="267"/>
      <c r="D67" s="267"/>
      <c r="E67" s="267"/>
      <c r="F67" s="267"/>
      <c r="G67" s="268">
        <f>J16</f>
        <v>29059.98833559435</v>
      </c>
      <c r="H67" s="269"/>
      <c r="I67" s="269"/>
      <c r="J67" s="3"/>
    </row>
    <row r="68" spans="1:10" ht="18.75" thickBot="1">
      <c r="A68" t="s">
        <v>249</v>
      </c>
      <c r="B68" s="270" t="s">
        <v>242</v>
      </c>
      <c r="C68" s="271"/>
      <c r="D68" s="271"/>
      <c r="E68" s="271"/>
      <c r="F68" s="271"/>
      <c r="G68" s="272">
        <f>IRR(E15:E65)</f>
        <v>0.19785038787440024</v>
      </c>
      <c r="H68" s="273"/>
      <c r="I68" s="273"/>
      <c r="J68" s="3"/>
    </row>
    <row r="69" spans="2:10" ht="18.75" thickBot="1">
      <c r="B69" s="261" t="s">
        <v>243</v>
      </c>
      <c r="C69" s="262"/>
      <c r="D69" s="262"/>
      <c r="E69" s="262"/>
      <c r="F69" s="262"/>
      <c r="G69" s="274">
        <f>NPER(C13,G71,G15,0)</f>
        <v>3.352196293371871</v>
      </c>
      <c r="H69" s="275"/>
      <c r="I69" s="275"/>
      <c r="J69" s="3"/>
    </row>
    <row r="70" spans="2:9" ht="12.75" hidden="1">
      <c r="B70" s="12" t="s">
        <v>244</v>
      </c>
      <c r="G70" s="276">
        <f>SUM(G16:G65)</f>
        <v>661438.1020248468</v>
      </c>
      <c r="H70" s="276"/>
      <c r="I70" s="276"/>
    </row>
    <row r="71" spans="2:9" ht="12.75" hidden="1">
      <c r="B71" s="12" t="s">
        <v>245</v>
      </c>
      <c r="G71" s="277">
        <f>PMT(C13,C12,G70,0)*-1</f>
        <v>222371.651844397</v>
      </c>
      <c r="H71" s="277"/>
      <c r="I71" s="277"/>
    </row>
    <row r="73" ht="18">
      <c r="B73" s="3" t="s">
        <v>246</v>
      </c>
    </row>
    <row r="74" spans="2:7" ht="78" customHeight="1">
      <c r="B74" s="445" t="str">
        <f>CONCATENATE("Da nutidsværdien er ",IF(G66&gt;=0,"positiv med ","negativ med "),"kr. ",ROUND(G66,0)," er investeringen ",IF(G66&gt;=0,"rentabel ","ikke rentabel "),"og bør ",IF(G66&gt;=0,"foretages. ","ikke foretages. "),"Den interne rente er på ",ROUND(G68,4)*100," hvilket er ",IF(ROUND((G68-C13),4)*100&gt;0,ROUND((G68-C13),4)*100,ROUND((G68-C13),4)*-100)," %-point ",IF(C13&lt;=G68,"over ","under "),"kalkulationsrenten på ",ROUND(C13,2)*100," %. ","Hvis man omregner nutidsværdien til en annuitet bliver det årlige ",IF(G66&gt;=0,"overskud ","underskud "),"på kr. ",ROUND(G67,0),". ","Både den ",IF(G66&gt;=0,"postive ","negative "),"nutidsværdi og det at den interne rente er ",IF(G66&gt;=0,"over ","under "),"kalkulationsrenten bekræfter os i at investeringen ",IF(G66&gt;=0,"bør foretages.","ikke bør foretages."))</f>
        <v>Da nutidsværdien er positiv med kr. 86438 er investeringen rentabel og bør foretages. Den interne rente er på 19,79 hvilket er 6,79 %-point over kalkulationsrenten på 13 %. Hvis man omregner nutidsværdien til en annuitet bliver det årlige overskud på kr. 29060. Både den postive nutidsværdi og det at den interne rente er over kalkulationsrenten bekræfter os i at investeringen bør foretages.</v>
      </c>
      <c r="C74" s="445"/>
      <c r="D74" s="445"/>
      <c r="E74" s="445"/>
      <c r="F74" s="445"/>
      <c r="G74" s="445"/>
    </row>
    <row r="75" spans="2:3" ht="12.75">
      <c r="B75" s="87"/>
      <c r="C75" s="87"/>
    </row>
    <row r="76" spans="2:3" ht="12.75">
      <c r="B76" s="87"/>
      <c r="C76" s="87"/>
    </row>
  </sheetData>
  <sheetProtection/>
  <mergeCells count="2">
    <mergeCell ref="B1:D1"/>
    <mergeCell ref="B74:G74"/>
  </mergeCells>
  <printOptions/>
  <pageMargins left="0.7874015748031497" right="0.3937007874015748" top="0.984251968503937" bottom="0.984251968503937" header="0" footer="0"/>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L83"/>
  <sheetViews>
    <sheetView zoomScalePageLayoutView="0" workbookViewId="0" topLeftCell="A1">
      <selection activeCell="B10" sqref="B10:J14"/>
    </sheetView>
  </sheetViews>
  <sheetFormatPr defaultColWidth="9.140625" defaultRowHeight="12.75"/>
  <cols>
    <col min="1" max="1" width="5.421875" style="0" customWidth="1"/>
    <col min="2" max="2" width="9.28125" style="0" customWidth="1"/>
    <col min="3" max="3" width="16.140625" style="0" customWidth="1"/>
    <col min="4" max="4" width="20.7109375" style="0" customWidth="1"/>
    <col min="5" max="5" width="28.28125" style="0" customWidth="1"/>
    <col min="6" max="6" width="27.7109375" style="0" customWidth="1"/>
    <col min="7" max="7" width="28.28125" style="0" customWidth="1"/>
    <col min="8" max="8" width="24.7109375" style="0" hidden="1" customWidth="1"/>
    <col min="9" max="9" width="24.8515625" style="0" customWidth="1"/>
    <col min="10" max="10" width="24.140625" style="0" customWidth="1"/>
  </cols>
  <sheetData>
    <row r="1" spans="2:4" ht="23.25">
      <c r="B1" s="230" t="s">
        <v>250</v>
      </c>
      <c r="C1" s="231"/>
      <c r="D1" s="231"/>
    </row>
    <row r="2" spans="2:6" ht="23.25" hidden="1">
      <c r="B2" s="233"/>
      <c r="C2" s="233"/>
      <c r="D2" s="233"/>
      <c r="E2" s="233"/>
      <c r="F2" s="233"/>
    </row>
    <row r="3" spans="2:6" ht="23.25" hidden="1">
      <c r="B3" s="233"/>
      <c r="C3" s="233"/>
      <c r="D3" s="233"/>
      <c r="E3" s="233"/>
      <c r="F3" s="233"/>
    </row>
    <row r="4" spans="2:6" ht="23.25" hidden="1">
      <c r="B4" s="233"/>
      <c r="C4" s="233"/>
      <c r="D4" s="233"/>
      <c r="E4" s="233"/>
      <c r="F4" s="233"/>
    </row>
    <row r="5" spans="5:6" ht="23.25" hidden="1">
      <c r="E5" s="233"/>
      <c r="F5" s="233"/>
    </row>
    <row r="6" ht="18" hidden="1">
      <c r="B6" s="1"/>
    </row>
    <row r="7" spans="2:3" ht="15.75">
      <c r="B7" s="235" t="s">
        <v>233</v>
      </c>
      <c r="C7" s="236">
        <v>4</v>
      </c>
    </row>
    <row r="8" spans="2:3" ht="16.5" thickBot="1">
      <c r="B8" s="235" t="s">
        <v>234</v>
      </c>
      <c r="C8" s="237">
        <v>0.13</v>
      </c>
    </row>
    <row r="9" spans="2:10" ht="64.5" customHeight="1" thickBot="1">
      <c r="B9" s="238" t="s">
        <v>235</v>
      </c>
      <c r="C9" s="239" t="s">
        <v>236</v>
      </c>
      <c r="D9" s="240" t="s">
        <v>237</v>
      </c>
      <c r="E9" s="238" t="s">
        <v>238</v>
      </c>
      <c r="F9" s="241" t="s">
        <v>301</v>
      </c>
      <c r="G9" s="238" t="s">
        <v>302</v>
      </c>
      <c r="H9" s="238" t="s">
        <v>303</v>
      </c>
      <c r="I9" s="241" t="str">
        <f>CONCATENATE("Nutidsværdien ved den interne rente (IRR) ",(ROUND(G63,4)*100)," %")</f>
        <v>Nutidsværdien ved den interne rente (IRR) 7,4 %</v>
      </c>
      <c r="J9" s="241" t="s">
        <v>304</v>
      </c>
    </row>
    <row r="10" spans="2:10" ht="18">
      <c r="B10" s="242">
        <v>0</v>
      </c>
      <c r="C10" s="243">
        <v>0</v>
      </c>
      <c r="D10" s="244">
        <f>'Opgave 2.2'!D15-'Opgave 2.1'!D15</f>
        <v>125000</v>
      </c>
      <c r="E10" s="245">
        <f>C10-D10</f>
        <v>-125000</v>
      </c>
      <c r="F10" s="246">
        <f aca="true" t="shared" si="0" ref="F10:F41">IF(B10&lt;=$C$7,POWER((1+$C$8),(B10*-1)),"-")</f>
        <v>1</v>
      </c>
      <c r="G10" s="247">
        <f>E10</f>
        <v>-125000</v>
      </c>
      <c r="H10" s="246">
        <f aca="true" t="shared" si="1" ref="H10:H41">IF(B10&lt;=$C$7,POWER((1+$G$63),(B10*-1)),"-")</f>
        <v>1</v>
      </c>
      <c r="I10" s="247">
        <f>G10</f>
        <v>-125000</v>
      </c>
      <c r="J10" s="242"/>
    </row>
    <row r="11" spans="2:10" ht="18">
      <c r="B11" s="248">
        <f aca="true" t="shared" si="2" ref="B11:B42">B10+1</f>
        <v>1</v>
      </c>
      <c r="C11" s="249">
        <f>'Opgave 2.2'!C16-'Opgave 2.1'!C16</f>
        <v>35000</v>
      </c>
      <c r="D11" s="250">
        <v>0</v>
      </c>
      <c r="E11" s="251">
        <f>C11-D11</f>
        <v>35000</v>
      </c>
      <c r="F11" s="252">
        <f t="shared" si="0"/>
        <v>0.8849557522123894</v>
      </c>
      <c r="G11" s="253">
        <f aca="true" t="shared" si="3" ref="G11:G42">PV($C$8,B11,0,E11)*-1</f>
        <v>30973.45132743363</v>
      </c>
      <c r="H11" s="252">
        <f t="shared" si="1"/>
        <v>0.9310820283742783</v>
      </c>
      <c r="I11" s="253">
        <f aca="true" t="shared" si="4" ref="I11:I42">PV($G$63,B11,0,E11)*-1</f>
        <v>32587.870993099743</v>
      </c>
      <c r="J11" s="253">
        <f>PMT($C$8,$C$7,$G$61)*-1</f>
        <v>-4962.332701760497</v>
      </c>
    </row>
    <row r="12" spans="2:10" ht="18">
      <c r="B12" s="248">
        <f t="shared" si="2"/>
        <v>2</v>
      </c>
      <c r="C12" s="249">
        <f>'Opgave 2.2'!C17-'Opgave 2.1'!C17</f>
        <v>35000</v>
      </c>
      <c r="D12" s="250">
        <v>0</v>
      </c>
      <c r="E12" s="251">
        <f>C12-D12</f>
        <v>35000</v>
      </c>
      <c r="F12" s="252">
        <f t="shared" si="0"/>
        <v>0.7831466833737961</v>
      </c>
      <c r="G12" s="253">
        <f t="shared" si="3"/>
        <v>27410.13391808286</v>
      </c>
      <c r="H12" s="252">
        <f t="shared" si="1"/>
        <v>0.8669137435615605</v>
      </c>
      <c r="I12" s="253">
        <f t="shared" si="4"/>
        <v>30341.981024654615</v>
      </c>
      <c r="J12" s="253">
        <f aca="true" t="shared" si="5" ref="J12:J17">IF(B12&lt;=$C$7,$J$11,0)</f>
        <v>-4962.332701760497</v>
      </c>
    </row>
    <row r="13" spans="2:10" ht="18">
      <c r="B13" s="248">
        <f t="shared" si="2"/>
        <v>3</v>
      </c>
      <c r="C13" s="249">
        <f>'Opgave 2.2'!C18-'Opgave 2.1'!C18</f>
        <v>35000</v>
      </c>
      <c r="D13" s="250">
        <v>0</v>
      </c>
      <c r="E13" s="251">
        <f>C13-D13</f>
        <v>35000</v>
      </c>
      <c r="F13" s="252">
        <f t="shared" si="0"/>
        <v>0.6930501622776958</v>
      </c>
      <c r="G13" s="253">
        <f t="shared" si="3"/>
        <v>24256.755679719354</v>
      </c>
      <c r="H13" s="252">
        <f t="shared" si="1"/>
        <v>0.8071678067808367</v>
      </c>
      <c r="I13" s="253">
        <f t="shared" si="4"/>
        <v>28250.873237329284</v>
      </c>
      <c r="J13" s="253">
        <f t="shared" si="5"/>
        <v>-4962.332701760497</v>
      </c>
    </row>
    <row r="14" spans="2:10" ht="18.75" thickBot="1">
      <c r="B14" s="255">
        <f t="shared" si="2"/>
        <v>4</v>
      </c>
      <c r="C14" s="256">
        <v>45000</v>
      </c>
      <c r="D14" s="257">
        <v>0</v>
      </c>
      <c r="E14" s="258">
        <f>C14-D14</f>
        <v>45000</v>
      </c>
      <c r="F14" s="259">
        <f t="shared" si="0"/>
        <v>0.6133187276793768</v>
      </c>
      <c r="G14" s="260">
        <f t="shared" si="3"/>
        <v>27599.342745571957</v>
      </c>
      <c r="H14" s="259">
        <f t="shared" si="1"/>
        <v>0.751539438775919</v>
      </c>
      <c r="I14" s="260">
        <f t="shared" si="4"/>
        <v>33819.27474491636</v>
      </c>
      <c r="J14" s="260">
        <f t="shared" si="5"/>
        <v>-4962.332701760497</v>
      </c>
    </row>
    <row r="15" spans="2:10" ht="18" hidden="1">
      <c r="B15" s="248">
        <f t="shared" si="2"/>
        <v>5</v>
      </c>
      <c r="C15" s="249">
        <v>0</v>
      </c>
      <c r="D15" s="250">
        <v>0</v>
      </c>
      <c r="E15" s="251">
        <f>(C15-D15)</f>
        <v>0</v>
      </c>
      <c r="F15" s="252" t="str">
        <f t="shared" si="0"/>
        <v>-</v>
      </c>
      <c r="G15" s="253">
        <f t="shared" si="3"/>
        <v>0</v>
      </c>
      <c r="H15" s="252" t="str">
        <f t="shared" si="1"/>
        <v>-</v>
      </c>
      <c r="I15" s="253">
        <f t="shared" si="4"/>
        <v>0</v>
      </c>
      <c r="J15" s="253">
        <f t="shared" si="5"/>
        <v>0</v>
      </c>
    </row>
    <row r="16" spans="2:10" ht="18" hidden="1">
      <c r="B16" s="248">
        <f t="shared" si="2"/>
        <v>6</v>
      </c>
      <c r="C16" s="249">
        <v>0</v>
      </c>
      <c r="D16" s="250">
        <v>0</v>
      </c>
      <c r="E16" s="251">
        <f aca="true" t="shared" si="6" ref="E16:E60">C16-D16</f>
        <v>0</v>
      </c>
      <c r="F16" s="252" t="str">
        <f t="shared" si="0"/>
        <v>-</v>
      </c>
      <c r="G16" s="253">
        <f t="shared" si="3"/>
        <v>0</v>
      </c>
      <c r="H16" s="252" t="str">
        <f t="shared" si="1"/>
        <v>-</v>
      </c>
      <c r="I16" s="253">
        <f t="shared" si="4"/>
        <v>0</v>
      </c>
      <c r="J16" s="253">
        <f t="shared" si="5"/>
        <v>0</v>
      </c>
    </row>
    <row r="17" spans="2:10" ht="18" hidden="1">
      <c r="B17" s="248">
        <f t="shared" si="2"/>
        <v>7</v>
      </c>
      <c r="C17" s="249">
        <v>0</v>
      </c>
      <c r="D17" s="250">
        <v>0</v>
      </c>
      <c r="E17" s="251">
        <f t="shared" si="6"/>
        <v>0</v>
      </c>
      <c r="F17" s="252" t="str">
        <f t="shared" si="0"/>
        <v>-</v>
      </c>
      <c r="G17" s="253">
        <f t="shared" si="3"/>
        <v>0</v>
      </c>
      <c r="H17" s="252" t="str">
        <f t="shared" si="1"/>
        <v>-</v>
      </c>
      <c r="I17" s="253">
        <f t="shared" si="4"/>
        <v>0</v>
      </c>
      <c r="J17" s="253">
        <f t="shared" si="5"/>
        <v>0</v>
      </c>
    </row>
    <row r="18" spans="2:12" ht="18" hidden="1">
      <c r="B18" s="248">
        <f t="shared" si="2"/>
        <v>8</v>
      </c>
      <c r="C18" s="249">
        <v>0</v>
      </c>
      <c r="D18" s="250">
        <v>0</v>
      </c>
      <c r="E18" s="251">
        <f t="shared" si="6"/>
        <v>0</v>
      </c>
      <c r="F18" s="252" t="str">
        <f t="shared" si="0"/>
        <v>-</v>
      </c>
      <c r="G18" s="253">
        <f t="shared" si="3"/>
        <v>0</v>
      </c>
      <c r="H18" s="252" t="str">
        <f t="shared" si="1"/>
        <v>-</v>
      </c>
      <c r="I18" s="253">
        <f t="shared" si="4"/>
        <v>0</v>
      </c>
      <c r="J18" s="253">
        <f aca="true" t="shared" si="7" ref="J18:J60">IF(B17&lt;=$C$7,$J$11,0)</f>
        <v>0</v>
      </c>
      <c r="L18" s="254"/>
    </row>
    <row r="19" spans="2:10" ht="18" hidden="1">
      <c r="B19" s="248">
        <f t="shared" si="2"/>
        <v>9</v>
      </c>
      <c r="C19" s="249">
        <v>0</v>
      </c>
      <c r="D19" s="250">
        <v>0</v>
      </c>
      <c r="E19" s="251">
        <f t="shared" si="6"/>
        <v>0</v>
      </c>
      <c r="F19" s="252" t="str">
        <f t="shared" si="0"/>
        <v>-</v>
      </c>
      <c r="G19" s="253">
        <f t="shared" si="3"/>
        <v>0</v>
      </c>
      <c r="H19" s="252" t="str">
        <f t="shared" si="1"/>
        <v>-</v>
      </c>
      <c r="I19" s="253">
        <f t="shared" si="4"/>
        <v>0</v>
      </c>
      <c r="J19" s="253">
        <f t="shared" si="7"/>
        <v>0</v>
      </c>
    </row>
    <row r="20" spans="2:10" ht="18" hidden="1">
      <c r="B20" s="248">
        <f t="shared" si="2"/>
        <v>10</v>
      </c>
      <c r="C20" s="249">
        <v>0</v>
      </c>
      <c r="D20" s="250">
        <v>0</v>
      </c>
      <c r="E20" s="251">
        <f t="shared" si="6"/>
        <v>0</v>
      </c>
      <c r="F20" s="252" t="str">
        <f t="shared" si="0"/>
        <v>-</v>
      </c>
      <c r="G20" s="253">
        <f t="shared" si="3"/>
        <v>0</v>
      </c>
      <c r="H20" s="252" t="str">
        <f t="shared" si="1"/>
        <v>-</v>
      </c>
      <c r="I20" s="253">
        <f t="shared" si="4"/>
        <v>0</v>
      </c>
      <c r="J20" s="253">
        <f t="shared" si="7"/>
        <v>0</v>
      </c>
    </row>
    <row r="21" spans="2:10" ht="18" hidden="1">
      <c r="B21" s="248">
        <f t="shared" si="2"/>
        <v>11</v>
      </c>
      <c r="C21" s="249">
        <v>0</v>
      </c>
      <c r="D21" s="250">
        <v>0</v>
      </c>
      <c r="E21" s="251">
        <f t="shared" si="6"/>
        <v>0</v>
      </c>
      <c r="F21" s="252" t="str">
        <f t="shared" si="0"/>
        <v>-</v>
      </c>
      <c r="G21" s="253">
        <f t="shared" si="3"/>
        <v>0</v>
      </c>
      <c r="H21" s="252" t="str">
        <f t="shared" si="1"/>
        <v>-</v>
      </c>
      <c r="I21" s="253">
        <f t="shared" si="4"/>
        <v>0</v>
      </c>
      <c r="J21" s="253">
        <f t="shared" si="7"/>
        <v>0</v>
      </c>
    </row>
    <row r="22" spans="2:10" ht="18" hidden="1">
      <c r="B22" s="248">
        <f t="shared" si="2"/>
        <v>12</v>
      </c>
      <c r="C22" s="249">
        <v>0</v>
      </c>
      <c r="D22" s="250">
        <v>0</v>
      </c>
      <c r="E22" s="251">
        <f t="shared" si="6"/>
        <v>0</v>
      </c>
      <c r="F22" s="252" t="str">
        <f t="shared" si="0"/>
        <v>-</v>
      </c>
      <c r="G22" s="253">
        <f t="shared" si="3"/>
        <v>0</v>
      </c>
      <c r="H22" s="252" t="str">
        <f t="shared" si="1"/>
        <v>-</v>
      </c>
      <c r="I22" s="253">
        <f t="shared" si="4"/>
        <v>0</v>
      </c>
      <c r="J22" s="253">
        <f t="shared" si="7"/>
        <v>0</v>
      </c>
    </row>
    <row r="23" spans="2:12" ht="18" hidden="1">
      <c r="B23" s="248">
        <f t="shared" si="2"/>
        <v>13</v>
      </c>
      <c r="C23" s="249">
        <v>0</v>
      </c>
      <c r="D23" s="250">
        <v>0</v>
      </c>
      <c r="E23" s="251">
        <f t="shared" si="6"/>
        <v>0</v>
      </c>
      <c r="F23" s="252" t="str">
        <f t="shared" si="0"/>
        <v>-</v>
      </c>
      <c r="G23" s="253">
        <f t="shared" si="3"/>
        <v>0</v>
      </c>
      <c r="H23" s="252" t="str">
        <f t="shared" si="1"/>
        <v>-</v>
      </c>
      <c r="I23" s="253">
        <f t="shared" si="4"/>
        <v>0</v>
      </c>
      <c r="J23" s="253">
        <f t="shared" si="7"/>
        <v>0</v>
      </c>
      <c r="L23" s="254"/>
    </row>
    <row r="24" spans="2:10" ht="18" hidden="1">
      <c r="B24" s="248">
        <f t="shared" si="2"/>
        <v>14</v>
      </c>
      <c r="C24" s="249">
        <v>0</v>
      </c>
      <c r="D24" s="250">
        <v>0</v>
      </c>
      <c r="E24" s="251">
        <f t="shared" si="6"/>
        <v>0</v>
      </c>
      <c r="F24" s="252" t="str">
        <f t="shared" si="0"/>
        <v>-</v>
      </c>
      <c r="G24" s="253">
        <f t="shared" si="3"/>
        <v>0</v>
      </c>
      <c r="H24" s="252" t="str">
        <f t="shared" si="1"/>
        <v>-</v>
      </c>
      <c r="I24" s="253">
        <f t="shared" si="4"/>
        <v>0</v>
      </c>
      <c r="J24" s="253">
        <f t="shared" si="7"/>
        <v>0</v>
      </c>
    </row>
    <row r="25" spans="2:10" ht="18.75" hidden="1" thickBot="1">
      <c r="B25" s="255">
        <f t="shared" si="2"/>
        <v>15</v>
      </c>
      <c r="C25" s="256">
        <v>0</v>
      </c>
      <c r="D25" s="257">
        <v>0</v>
      </c>
      <c r="E25" s="258">
        <f t="shared" si="6"/>
        <v>0</v>
      </c>
      <c r="F25" s="259" t="str">
        <f t="shared" si="0"/>
        <v>-</v>
      </c>
      <c r="G25" s="260">
        <f t="shared" si="3"/>
        <v>0</v>
      </c>
      <c r="H25" s="259" t="str">
        <f t="shared" si="1"/>
        <v>-</v>
      </c>
      <c r="I25" s="260">
        <f t="shared" si="4"/>
        <v>0</v>
      </c>
      <c r="J25" s="260">
        <f t="shared" si="7"/>
        <v>0</v>
      </c>
    </row>
    <row r="26" spans="2:10" ht="18" hidden="1">
      <c r="B26" s="248">
        <f t="shared" si="2"/>
        <v>16</v>
      </c>
      <c r="C26" s="249">
        <v>0</v>
      </c>
      <c r="D26" s="250">
        <v>0</v>
      </c>
      <c r="E26" s="251">
        <f t="shared" si="6"/>
        <v>0</v>
      </c>
      <c r="F26" s="252" t="str">
        <f t="shared" si="0"/>
        <v>-</v>
      </c>
      <c r="G26" s="253">
        <f t="shared" si="3"/>
        <v>0</v>
      </c>
      <c r="H26" s="252" t="str">
        <f t="shared" si="1"/>
        <v>-</v>
      </c>
      <c r="I26" s="253">
        <f t="shared" si="4"/>
        <v>0</v>
      </c>
      <c r="J26" s="253">
        <f t="shared" si="7"/>
        <v>0</v>
      </c>
    </row>
    <row r="27" spans="2:10" ht="18" hidden="1">
      <c r="B27" s="248">
        <f t="shared" si="2"/>
        <v>17</v>
      </c>
      <c r="C27" s="249">
        <v>0</v>
      </c>
      <c r="D27" s="250">
        <v>0</v>
      </c>
      <c r="E27" s="251">
        <f t="shared" si="6"/>
        <v>0</v>
      </c>
      <c r="F27" s="252" t="str">
        <f t="shared" si="0"/>
        <v>-</v>
      </c>
      <c r="G27" s="253">
        <f t="shared" si="3"/>
        <v>0</v>
      </c>
      <c r="H27" s="252" t="str">
        <f t="shared" si="1"/>
        <v>-</v>
      </c>
      <c r="I27" s="253">
        <f t="shared" si="4"/>
        <v>0</v>
      </c>
      <c r="J27" s="253">
        <f t="shared" si="7"/>
        <v>0</v>
      </c>
    </row>
    <row r="28" spans="2:10" ht="18" hidden="1">
      <c r="B28" s="248">
        <f t="shared" si="2"/>
        <v>18</v>
      </c>
      <c r="C28" s="249">
        <v>0</v>
      </c>
      <c r="D28" s="250">
        <v>0</v>
      </c>
      <c r="E28" s="251">
        <f t="shared" si="6"/>
        <v>0</v>
      </c>
      <c r="F28" s="252" t="str">
        <f t="shared" si="0"/>
        <v>-</v>
      </c>
      <c r="G28" s="253">
        <f t="shared" si="3"/>
        <v>0</v>
      </c>
      <c r="H28" s="252" t="str">
        <f t="shared" si="1"/>
        <v>-</v>
      </c>
      <c r="I28" s="253">
        <f t="shared" si="4"/>
        <v>0</v>
      </c>
      <c r="J28" s="253">
        <f t="shared" si="7"/>
        <v>0</v>
      </c>
    </row>
    <row r="29" spans="2:10" ht="18" hidden="1">
      <c r="B29" s="248">
        <f t="shared" si="2"/>
        <v>19</v>
      </c>
      <c r="C29" s="249">
        <v>0</v>
      </c>
      <c r="D29" s="250">
        <v>0</v>
      </c>
      <c r="E29" s="251">
        <f t="shared" si="6"/>
        <v>0</v>
      </c>
      <c r="F29" s="252" t="str">
        <f t="shared" si="0"/>
        <v>-</v>
      </c>
      <c r="G29" s="253">
        <f t="shared" si="3"/>
        <v>0</v>
      </c>
      <c r="H29" s="252" t="str">
        <f t="shared" si="1"/>
        <v>-</v>
      </c>
      <c r="I29" s="253">
        <f t="shared" si="4"/>
        <v>0</v>
      </c>
      <c r="J29" s="253">
        <f t="shared" si="7"/>
        <v>0</v>
      </c>
    </row>
    <row r="30" spans="2:10" ht="18" hidden="1">
      <c r="B30" s="248">
        <f t="shared" si="2"/>
        <v>20</v>
      </c>
      <c r="C30" s="249">
        <v>0</v>
      </c>
      <c r="D30" s="250">
        <v>0</v>
      </c>
      <c r="E30" s="251">
        <f t="shared" si="6"/>
        <v>0</v>
      </c>
      <c r="F30" s="252" t="str">
        <f t="shared" si="0"/>
        <v>-</v>
      </c>
      <c r="G30" s="253">
        <f t="shared" si="3"/>
        <v>0</v>
      </c>
      <c r="H30" s="252" t="str">
        <f t="shared" si="1"/>
        <v>-</v>
      </c>
      <c r="I30" s="253">
        <f t="shared" si="4"/>
        <v>0</v>
      </c>
      <c r="J30" s="253">
        <f t="shared" si="7"/>
        <v>0</v>
      </c>
    </row>
    <row r="31" spans="2:10" ht="18" hidden="1">
      <c r="B31" s="248">
        <f t="shared" si="2"/>
        <v>21</v>
      </c>
      <c r="C31" s="249">
        <v>0</v>
      </c>
      <c r="D31" s="250">
        <v>0</v>
      </c>
      <c r="E31" s="251">
        <f t="shared" si="6"/>
        <v>0</v>
      </c>
      <c r="F31" s="252" t="str">
        <f t="shared" si="0"/>
        <v>-</v>
      </c>
      <c r="G31" s="253">
        <f t="shared" si="3"/>
        <v>0</v>
      </c>
      <c r="H31" s="252" t="str">
        <f t="shared" si="1"/>
        <v>-</v>
      </c>
      <c r="I31" s="253">
        <f t="shared" si="4"/>
        <v>0</v>
      </c>
      <c r="J31" s="253">
        <f t="shared" si="7"/>
        <v>0</v>
      </c>
    </row>
    <row r="32" spans="2:10" ht="18" hidden="1">
      <c r="B32" s="248">
        <f t="shared" si="2"/>
        <v>22</v>
      </c>
      <c r="C32" s="249">
        <v>0</v>
      </c>
      <c r="D32" s="250">
        <v>0</v>
      </c>
      <c r="E32" s="251">
        <f t="shared" si="6"/>
        <v>0</v>
      </c>
      <c r="F32" s="252" t="str">
        <f t="shared" si="0"/>
        <v>-</v>
      </c>
      <c r="G32" s="253">
        <f t="shared" si="3"/>
        <v>0</v>
      </c>
      <c r="H32" s="252" t="str">
        <f t="shared" si="1"/>
        <v>-</v>
      </c>
      <c r="I32" s="253">
        <f t="shared" si="4"/>
        <v>0</v>
      </c>
      <c r="J32" s="253">
        <f t="shared" si="7"/>
        <v>0</v>
      </c>
    </row>
    <row r="33" spans="2:10" ht="18" hidden="1">
      <c r="B33" s="248">
        <f t="shared" si="2"/>
        <v>23</v>
      </c>
      <c r="C33" s="249">
        <v>0</v>
      </c>
      <c r="D33" s="250">
        <v>0</v>
      </c>
      <c r="E33" s="251">
        <f t="shared" si="6"/>
        <v>0</v>
      </c>
      <c r="F33" s="252" t="str">
        <f t="shared" si="0"/>
        <v>-</v>
      </c>
      <c r="G33" s="253">
        <f t="shared" si="3"/>
        <v>0</v>
      </c>
      <c r="H33" s="252" t="str">
        <f t="shared" si="1"/>
        <v>-</v>
      </c>
      <c r="I33" s="253">
        <f t="shared" si="4"/>
        <v>0</v>
      </c>
      <c r="J33" s="253">
        <f t="shared" si="7"/>
        <v>0</v>
      </c>
    </row>
    <row r="34" spans="2:10" ht="18" hidden="1">
      <c r="B34" s="248">
        <f t="shared" si="2"/>
        <v>24</v>
      </c>
      <c r="C34" s="249">
        <v>0</v>
      </c>
      <c r="D34" s="250">
        <v>0</v>
      </c>
      <c r="E34" s="251">
        <f t="shared" si="6"/>
        <v>0</v>
      </c>
      <c r="F34" s="252" t="str">
        <f t="shared" si="0"/>
        <v>-</v>
      </c>
      <c r="G34" s="253">
        <f t="shared" si="3"/>
        <v>0</v>
      </c>
      <c r="H34" s="252" t="str">
        <f t="shared" si="1"/>
        <v>-</v>
      </c>
      <c r="I34" s="253">
        <f t="shared" si="4"/>
        <v>0</v>
      </c>
      <c r="J34" s="253">
        <f t="shared" si="7"/>
        <v>0</v>
      </c>
    </row>
    <row r="35" spans="2:10" ht="18" hidden="1">
      <c r="B35" s="248">
        <f t="shared" si="2"/>
        <v>25</v>
      </c>
      <c r="C35" s="249">
        <v>0</v>
      </c>
      <c r="D35" s="250">
        <v>0</v>
      </c>
      <c r="E35" s="251">
        <f t="shared" si="6"/>
        <v>0</v>
      </c>
      <c r="F35" s="252" t="str">
        <f t="shared" si="0"/>
        <v>-</v>
      </c>
      <c r="G35" s="253">
        <f t="shared" si="3"/>
        <v>0</v>
      </c>
      <c r="H35" s="252" t="str">
        <f t="shared" si="1"/>
        <v>-</v>
      </c>
      <c r="I35" s="253">
        <f t="shared" si="4"/>
        <v>0</v>
      </c>
      <c r="J35" s="253">
        <f t="shared" si="7"/>
        <v>0</v>
      </c>
    </row>
    <row r="36" spans="2:10" ht="18" hidden="1">
      <c r="B36" s="248">
        <f t="shared" si="2"/>
        <v>26</v>
      </c>
      <c r="C36" s="249">
        <v>0</v>
      </c>
      <c r="D36" s="250">
        <v>0</v>
      </c>
      <c r="E36" s="251">
        <f t="shared" si="6"/>
        <v>0</v>
      </c>
      <c r="F36" s="252" t="str">
        <f t="shared" si="0"/>
        <v>-</v>
      </c>
      <c r="G36" s="253">
        <f t="shared" si="3"/>
        <v>0</v>
      </c>
      <c r="H36" s="252" t="str">
        <f t="shared" si="1"/>
        <v>-</v>
      </c>
      <c r="I36" s="253">
        <f t="shared" si="4"/>
        <v>0</v>
      </c>
      <c r="J36" s="253">
        <f t="shared" si="7"/>
        <v>0</v>
      </c>
    </row>
    <row r="37" spans="2:10" ht="18" hidden="1">
      <c r="B37" s="248">
        <f t="shared" si="2"/>
        <v>27</v>
      </c>
      <c r="C37" s="249">
        <v>0</v>
      </c>
      <c r="D37" s="250">
        <v>0</v>
      </c>
      <c r="E37" s="251">
        <f t="shared" si="6"/>
        <v>0</v>
      </c>
      <c r="F37" s="252" t="str">
        <f t="shared" si="0"/>
        <v>-</v>
      </c>
      <c r="G37" s="253">
        <f t="shared" si="3"/>
        <v>0</v>
      </c>
      <c r="H37" s="252" t="str">
        <f t="shared" si="1"/>
        <v>-</v>
      </c>
      <c r="I37" s="253">
        <f t="shared" si="4"/>
        <v>0</v>
      </c>
      <c r="J37" s="253">
        <f t="shared" si="7"/>
        <v>0</v>
      </c>
    </row>
    <row r="38" spans="2:10" ht="18" hidden="1">
      <c r="B38" s="248">
        <f t="shared" si="2"/>
        <v>28</v>
      </c>
      <c r="C38" s="249">
        <v>0</v>
      </c>
      <c r="D38" s="250">
        <v>0</v>
      </c>
      <c r="E38" s="251">
        <f t="shared" si="6"/>
        <v>0</v>
      </c>
      <c r="F38" s="252" t="str">
        <f t="shared" si="0"/>
        <v>-</v>
      </c>
      <c r="G38" s="253">
        <f t="shared" si="3"/>
        <v>0</v>
      </c>
      <c r="H38" s="252" t="str">
        <f t="shared" si="1"/>
        <v>-</v>
      </c>
      <c r="I38" s="253">
        <f t="shared" si="4"/>
        <v>0</v>
      </c>
      <c r="J38" s="253">
        <f t="shared" si="7"/>
        <v>0</v>
      </c>
    </row>
    <row r="39" spans="2:10" ht="18" hidden="1">
      <c r="B39" s="248">
        <f t="shared" si="2"/>
        <v>29</v>
      </c>
      <c r="C39" s="249">
        <v>0</v>
      </c>
      <c r="D39" s="250">
        <v>0</v>
      </c>
      <c r="E39" s="251">
        <f t="shared" si="6"/>
        <v>0</v>
      </c>
      <c r="F39" s="252" t="str">
        <f t="shared" si="0"/>
        <v>-</v>
      </c>
      <c r="G39" s="253">
        <f t="shared" si="3"/>
        <v>0</v>
      </c>
      <c r="H39" s="252" t="str">
        <f t="shared" si="1"/>
        <v>-</v>
      </c>
      <c r="I39" s="253">
        <f t="shared" si="4"/>
        <v>0</v>
      </c>
      <c r="J39" s="253">
        <f t="shared" si="7"/>
        <v>0</v>
      </c>
    </row>
    <row r="40" spans="2:10" ht="18" hidden="1">
      <c r="B40" s="248">
        <f t="shared" si="2"/>
        <v>30</v>
      </c>
      <c r="C40" s="249">
        <v>0</v>
      </c>
      <c r="D40" s="250">
        <v>0</v>
      </c>
      <c r="E40" s="251">
        <f t="shared" si="6"/>
        <v>0</v>
      </c>
      <c r="F40" s="252" t="str">
        <f t="shared" si="0"/>
        <v>-</v>
      </c>
      <c r="G40" s="253">
        <f t="shared" si="3"/>
        <v>0</v>
      </c>
      <c r="H40" s="252" t="str">
        <f t="shared" si="1"/>
        <v>-</v>
      </c>
      <c r="I40" s="253">
        <f t="shared" si="4"/>
        <v>0</v>
      </c>
      <c r="J40" s="253">
        <f t="shared" si="7"/>
        <v>0</v>
      </c>
    </row>
    <row r="41" spans="2:10" ht="18" hidden="1">
      <c r="B41" s="248">
        <f t="shared" si="2"/>
        <v>31</v>
      </c>
      <c r="C41" s="249">
        <v>0</v>
      </c>
      <c r="D41" s="250">
        <v>0</v>
      </c>
      <c r="E41" s="251">
        <f t="shared" si="6"/>
        <v>0</v>
      </c>
      <c r="F41" s="252" t="str">
        <f t="shared" si="0"/>
        <v>-</v>
      </c>
      <c r="G41" s="253">
        <f t="shared" si="3"/>
        <v>0</v>
      </c>
      <c r="H41" s="252" t="str">
        <f t="shared" si="1"/>
        <v>-</v>
      </c>
      <c r="I41" s="253">
        <f t="shared" si="4"/>
        <v>0</v>
      </c>
      <c r="J41" s="253">
        <f t="shared" si="7"/>
        <v>0</v>
      </c>
    </row>
    <row r="42" spans="2:10" ht="18" hidden="1">
      <c r="B42" s="248">
        <f t="shared" si="2"/>
        <v>32</v>
      </c>
      <c r="C42" s="249">
        <v>0</v>
      </c>
      <c r="D42" s="250">
        <v>0</v>
      </c>
      <c r="E42" s="251">
        <f t="shared" si="6"/>
        <v>0</v>
      </c>
      <c r="F42" s="252" t="str">
        <f aca="true" t="shared" si="8" ref="F42:F60">IF(B42&lt;=$C$7,POWER((1+$C$8),(B42*-1)),"-")</f>
        <v>-</v>
      </c>
      <c r="G42" s="253">
        <f t="shared" si="3"/>
        <v>0</v>
      </c>
      <c r="H42" s="252" t="str">
        <f aca="true" t="shared" si="9" ref="H42:H60">IF(B42&lt;=$C$7,POWER((1+$G$63),(B42*-1)),"-")</f>
        <v>-</v>
      </c>
      <c r="I42" s="253">
        <f t="shared" si="4"/>
        <v>0</v>
      </c>
      <c r="J42" s="253">
        <f t="shared" si="7"/>
        <v>0</v>
      </c>
    </row>
    <row r="43" spans="2:10" ht="18" hidden="1">
      <c r="B43" s="248">
        <f aca="true" t="shared" si="10" ref="B43:B60">B42+1</f>
        <v>33</v>
      </c>
      <c r="C43" s="249">
        <v>0</v>
      </c>
      <c r="D43" s="250">
        <v>0</v>
      </c>
      <c r="E43" s="251">
        <f t="shared" si="6"/>
        <v>0</v>
      </c>
      <c r="F43" s="252" t="str">
        <f t="shared" si="8"/>
        <v>-</v>
      </c>
      <c r="G43" s="253">
        <f aca="true" t="shared" si="11" ref="G43:G60">PV($C$8,B43,0,E43)*-1</f>
        <v>0</v>
      </c>
      <c r="H43" s="252" t="str">
        <f t="shared" si="9"/>
        <v>-</v>
      </c>
      <c r="I43" s="253">
        <f aca="true" t="shared" si="12" ref="I43:I60">PV($G$63,B43,0,E43)*-1</f>
        <v>0</v>
      </c>
      <c r="J43" s="253">
        <f t="shared" si="7"/>
        <v>0</v>
      </c>
    </row>
    <row r="44" spans="2:10" ht="18" hidden="1">
      <c r="B44" s="248">
        <f t="shared" si="10"/>
        <v>34</v>
      </c>
      <c r="C44" s="249">
        <v>0</v>
      </c>
      <c r="D44" s="250">
        <v>0</v>
      </c>
      <c r="E44" s="251">
        <f t="shared" si="6"/>
        <v>0</v>
      </c>
      <c r="F44" s="252" t="str">
        <f t="shared" si="8"/>
        <v>-</v>
      </c>
      <c r="G44" s="253">
        <f t="shared" si="11"/>
        <v>0</v>
      </c>
      <c r="H44" s="252" t="str">
        <f t="shared" si="9"/>
        <v>-</v>
      </c>
      <c r="I44" s="253">
        <f t="shared" si="12"/>
        <v>0</v>
      </c>
      <c r="J44" s="253">
        <f t="shared" si="7"/>
        <v>0</v>
      </c>
    </row>
    <row r="45" spans="2:10" ht="18" hidden="1">
      <c r="B45" s="248">
        <f t="shared" si="10"/>
        <v>35</v>
      </c>
      <c r="C45" s="249">
        <v>0</v>
      </c>
      <c r="D45" s="250">
        <v>0</v>
      </c>
      <c r="E45" s="251">
        <f t="shared" si="6"/>
        <v>0</v>
      </c>
      <c r="F45" s="252" t="str">
        <f t="shared" si="8"/>
        <v>-</v>
      </c>
      <c r="G45" s="253">
        <f t="shared" si="11"/>
        <v>0</v>
      </c>
      <c r="H45" s="252" t="str">
        <f t="shared" si="9"/>
        <v>-</v>
      </c>
      <c r="I45" s="253">
        <f t="shared" si="12"/>
        <v>0</v>
      </c>
      <c r="J45" s="253">
        <f t="shared" si="7"/>
        <v>0</v>
      </c>
    </row>
    <row r="46" spans="2:10" ht="18" hidden="1">
      <c r="B46" s="248">
        <f t="shared" si="10"/>
        <v>36</v>
      </c>
      <c r="C46" s="249">
        <v>0</v>
      </c>
      <c r="D46" s="250">
        <v>0</v>
      </c>
      <c r="E46" s="251">
        <f t="shared" si="6"/>
        <v>0</v>
      </c>
      <c r="F46" s="252" t="str">
        <f t="shared" si="8"/>
        <v>-</v>
      </c>
      <c r="G46" s="253">
        <f t="shared" si="11"/>
        <v>0</v>
      </c>
      <c r="H46" s="252" t="str">
        <f t="shared" si="9"/>
        <v>-</v>
      </c>
      <c r="I46" s="253">
        <f t="shared" si="12"/>
        <v>0</v>
      </c>
      <c r="J46" s="253">
        <f t="shared" si="7"/>
        <v>0</v>
      </c>
    </row>
    <row r="47" spans="2:10" ht="18" hidden="1">
      <c r="B47" s="248">
        <f t="shared" si="10"/>
        <v>37</v>
      </c>
      <c r="C47" s="249">
        <v>0</v>
      </c>
      <c r="D47" s="250">
        <v>0</v>
      </c>
      <c r="E47" s="251">
        <f t="shared" si="6"/>
        <v>0</v>
      </c>
      <c r="F47" s="252" t="str">
        <f t="shared" si="8"/>
        <v>-</v>
      </c>
      <c r="G47" s="253">
        <f t="shared" si="11"/>
        <v>0</v>
      </c>
      <c r="H47" s="252" t="str">
        <f t="shared" si="9"/>
        <v>-</v>
      </c>
      <c r="I47" s="253">
        <f t="shared" si="12"/>
        <v>0</v>
      </c>
      <c r="J47" s="253">
        <f t="shared" si="7"/>
        <v>0</v>
      </c>
    </row>
    <row r="48" spans="2:10" ht="18" hidden="1">
      <c r="B48" s="248">
        <f t="shared" si="10"/>
        <v>38</v>
      </c>
      <c r="C48" s="249">
        <v>0</v>
      </c>
      <c r="D48" s="250">
        <v>0</v>
      </c>
      <c r="E48" s="251">
        <f t="shared" si="6"/>
        <v>0</v>
      </c>
      <c r="F48" s="252" t="str">
        <f t="shared" si="8"/>
        <v>-</v>
      </c>
      <c r="G48" s="253">
        <f t="shared" si="11"/>
        <v>0</v>
      </c>
      <c r="H48" s="252" t="str">
        <f t="shared" si="9"/>
        <v>-</v>
      </c>
      <c r="I48" s="253">
        <f t="shared" si="12"/>
        <v>0</v>
      </c>
      <c r="J48" s="253">
        <f t="shared" si="7"/>
        <v>0</v>
      </c>
    </row>
    <row r="49" spans="2:10" ht="18" hidden="1">
      <c r="B49" s="248">
        <f t="shared" si="10"/>
        <v>39</v>
      </c>
      <c r="C49" s="249">
        <v>0</v>
      </c>
      <c r="D49" s="250">
        <v>0</v>
      </c>
      <c r="E49" s="251">
        <f t="shared" si="6"/>
        <v>0</v>
      </c>
      <c r="F49" s="252" t="str">
        <f t="shared" si="8"/>
        <v>-</v>
      </c>
      <c r="G49" s="253">
        <f t="shared" si="11"/>
        <v>0</v>
      </c>
      <c r="H49" s="252" t="str">
        <f t="shared" si="9"/>
        <v>-</v>
      </c>
      <c r="I49" s="253">
        <f t="shared" si="12"/>
        <v>0</v>
      </c>
      <c r="J49" s="253">
        <f t="shared" si="7"/>
        <v>0</v>
      </c>
    </row>
    <row r="50" spans="2:10" ht="18" hidden="1">
      <c r="B50" s="248">
        <f t="shared" si="10"/>
        <v>40</v>
      </c>
      <c r="C50" s="249">
        <v>0</v>
      </c>
      <c r="D50" s="250">
        <v>0</v>
      </c>
      <c r="E50" s="251">
        <f t="shared" si="6"/>
        <v>0</v>
      </c>
      <c r="F50" s="252" t="str">
        <f t="shared" si="8"/>
        <v>-</v>
      </c>
      <c r="G50" s="253">
        <f t="shared" si="11"/>
        <v>0</v>
      </c>
      <c r="H50" s="252" t="str">
        <f t="shared" si="9"/>
        <v>-</v>
      </c>
      <c r="I50" s="253">
        <f t="shared" si="12"/>
        <v>0</v>
      </c>
      <c r="J50" s="253">
        <f t="shared" si="7"/>
        <v>0</v>
      </c>
    </row>
    <row r="51" spans="2:10" ht="18" hidden="1">
      <c r="B51" s="248">
        <f t="shared" si="10"/>
        <v>41</v>
      </c>
      <c r="C51" s="249">
        <v>0</v>
      </c>
      <c r="D51" s="250">
        <v>0</v>
      </c>
      <c r="E51" s="251">
        <f t="shared" si="6"/>
        <v>0</v>
      </c>
      <c r="F51" s="252" t="str">
        <f t="shared" si="8"/>
        <v>-</v>
      </c>
      <c r="G51" s="253">
        <f t="shared" si="11"/>
        <v>0</v>
      </c>
      <c r="H51" s="252" t="str">
        <f t="shared" si="9"/>
        <v>-</v>
      </c>
      <c r="I51" s="253">
        <f t="shared" si="12"/>
        <v>0</v>
      </c>
      <c r="J51" s="253">
        <f t="shared" si="7"/>
        <v>0</v>
      </c>
    </row>
    <row r="52" spans="2:10" ht="18" hidden="1">
      <c r="B52" s="248">
        <f t="shared" si="10"/>
        <v>42</v>
      </c>
      <c r="C52" s="249">
        <v>0</v>
      </c>
      <c r="D52" s="250">
        <v>0</v>
      </c>
      <c r="E52" s="251">
        <f t="shared" si="6"/>
        <v>0</v>
      </c>
      <c r="F52" s="252" t="str">
        <f t="shared" si="8"/>
        <v>-</v>
      </c>
      <c r="G52" s="253">
        <f t="shared" si="11"/>
        <v>0</v>
      </c>
      <c r="H52" s="252" t="str">
        <f t="shared" si="9"/>
        <v>-</v>
      </c>
      <c r="I52" s="253">
        <f t="shared" si="12"/>
        <v>0</v>
      </c>
      <c r="J52" s="253">
        <f t="shared" si="7"/>
        <v>0</v>
      </c>
    </row>
    <row r="53" spans="2:10" ht="18" hidden="1">
      <c r="B53" s="248">
        <f t="shared" si="10"/>
        <v>43</v>
      </c>
      <c r="C53" s="249">
        <v>0</v>
      </c>
      <c r="D53" s="250">
        <v>0</v>
      </c>
      <c r="E53" s="251">
        <f t="shared" si="6"/>
        <v>0</v>
      </c>
      <c r="F53" s="252" t="str">
        <f t="shared" si="8"/>
        <v>-</v>
      </c>
      <c r="G53" s="253">
        <f t="shared" si="11"/>
        <v>0</v>
      </c>
      <c r="H53" s="252" t="str">
        <f t="shared" si="9"/>
        <v>-</v>
      </c>
      <c r="I53" s="253">
        <f t="shared" si="12"/>
        <v>0</v>
      </c>
      <c r="J53" s="253">
        <f t="shared" si="7"/>
        <v>0</v>
      </c>
    </row>
    <row r="54" spans="2:10" ht="18" hidden="1">
      <c r="B54" s="248">
        <f t="shared" si="10"/>
        <v>44</v>
      </c>
      <c r="C54" s="249">
        <v>0</v>
      </c>
      <c r="D54" s="250">
        <v>0</v>
      </c>
      <c r="E54" s="251">
        <f t="shared" si="6"/>
        <v>0</v>
      </c>
      <c r="F54" s="252" t="str">
        <f t="shared" si="8"/>
        <v>-</v>
      </c>
      <c r="G54" s="253">
        <f t="shared" si="11"/>
        <v>0</v>
      </c>
      <c r="H54" s="252" t="str">
        <f t="shared" si="9"/>
        <v>-</v>
      </c>
      <c r="I54" s="253">
        <f t="shared" si="12"/>
        <v>0</v>
      </c>
      <c r="J54" s="253">
        <f t="shared" si="7"/>
        <v>0</v>
      </c>
    </row>
    <row r="55" spans="2:10" ht="18" hidden="1">
      <c r="B55" s="248">
        <f t="shared" si="10"/>
        <v>45</v>
      </c>
      <c r="C55" s="249">
        <v>0</v>
      </c>
      <c r="D55" s="250">
        <v>0</v>
      </c>
      <c r="E55" s="251">
        <f t="shared" si="6"/>
        <v>0</v>
      </c>
      <c r="F55" s="252" t="str">
        <f t="shared" si="8"/>
        <v>-</v>
      </c>
      <c r="G55" s="253">
        <f t="shared" si="11"/>
        <v>0</v>
      </c>
      <c r="H55" s="252" t="str">
        <f t="shared" si="9"/>
        <v>-</v>
      </c>
      <c r="I55" s="253">
        <f t="shared" si="12"/>
        <v>0</v>
      </c>
      <c r="J55" s="253">
        <f t="shared" si="7"/>
        <v>0</v>
      </c>
    </row>
    <row r="56" spans="2:10" ht="18" hidden="1">
      <c r="B56" s="248">
        <f t="shared" si="10"/>
        <v>46</v>
      </c>
      <c r="C56" s="249">
        <v>0</v>
      </c>
      <c r="D56" s="250">
        <v>0</v>
      </c>
      <c r="E56" s="251">
        <f t="shared" si="6"/>
        <v>0</v>
      </c>
      <c r="F56" s="252" t="str">
        <f t="shared" si="8"/>
        <v>-</v>
      </c>
      <c r="G56" s="253">
        <f t="shared" si="11"/>
        <v>0</v>
      </c>
      <c r="H56" s="252" t="str">
        <f t="shared" si="9"/>
        <v>-</v>
      </c>
      <c r="I56" s="253">
        <f t="shared" si="12"/>
        <v>0</v>
      </c>
      <c r="J56" s="253">
        <f t="shared" si="7"/>
        <v>0</v>
      </c>
    </row>
    <row r="57" spans="2:10" ht="18" hidden="1">
      <c r="B57" s="248">
        <f t="shared" si="10"/>
        <v>47</v>
      </c>
      <c r="C57" s="249">
        <v>0</v>
      </c>
      <c r="D57" s="250">
        <v>0</v>
      </c>
      <c r="E57" s="251">
        <f t="shared" si="6"/>
        <v>0</v>
      </c>
      <c r="F57" s="252" t="str">
        <f t="shared" si="8"/>
        <v>-</v>
      </c>
      <c r="G57" s="253">
        <f t="shared" si="11"/>
        <v>0</v>
      </c>
      <c r="H57" s="252" t="str">
        <f t="shared" si="9"/>
        <v>-</v>
      </c>
      <c r="I57" s="253">
        <f t="shared" si="12"/>
        <v>0</v>
      </c>
      <c r="J57" s="253">
        <f t="shared" si="7"/>
        <v>0</v>
      </c>
    </row>
    <row r="58" spans="2:10" ht="18" hidden="1">
      <c r="B58" s="248">
        <f t="shared" si="10"/>
        <v>48</v>
      </c>
      <c r="C58" s="249">
        <v>0</v>
      </c>
      <c r="D58" s="250">
        <v>0</v>
      </c>
      <c r="E58" s="251">
        <f t="shared" si="6"/>
        <v>0</v>
      </c>
      <c r="F58" s="252" t="str">
        <f t="shared" si="8"/>
        <v>-</v>
      </c>
      <c r="G58" s="253">
        <f t="shared" si="11"/>
        <v>0</v>
      </c>
      <c r="H58" s="252" t="str">
        <f t="shared" si="9"/>
        <v>-</v>
      </c>
      <c r="I58" s="253">
        <f t="shared" si="12"/>
        <v>0</v>
      </c>
      <c r="J58" s="253">
        <f t="shared" si="7"/>
        <v>0</v>
      </c>
    </row>
    <row r="59" spans="2:10" ht="18" hidden="1">
      <c r="B59" s="248">
        <f t="shared" si="10"/>
        <v>49</v>
      </c>
      <c r="C59" s="249">
        <v>0</v>
      </c>
      <c r="D59" s="250">
        <v>0</v>
      </c>
      <c r="E59" s="251">
        <f t="shared" si="6"/>
        <v>0</v>
      </c>
      <c r="F59" s="252" t="str">
        <f t="shared" si="8"/>
        <v>-</v>
      </c>
      <c r="G59" s="253">
        <f t="shared" si="11"/>
        <v>0</v>
      </c>
      <c r="H59" s="252" t="str">
        <f t="shared" si="9"/>
        <v>-</v>
      </c>
      <c r="I59" s="253">
        <f t="shared" si="12"/>
        <v>0</v>
      </c>
      <c r="J59" s="253">
        <f t="shared" si="7"/>
        <v>0</v>
      </c>
    </row>
    <row r="60" spans="2:10" ht="18.75" hidden="1" thickBot="1">
      <c r="B60" s="255">
        <f t="shared" si="10"/>
        <v>50</v>
      </c>
      <c r="C60" s="256">
        <v>0</v>
      </c>
      <c r="D60" s="257">
        <v>0</v>
      </c>
      <c r="E60" s="258">
        <f t="shared" si="6"/>
        <v>0</v>
      </c>
      <c r="F60" s="259" t="str">
        <f t="shared" si="8"/>
        <v>-</v>
      </c>
      <c r="G60" s="260">
        <f t="shared" si="11"/>
        <v>0</v>
      </c>
      <c r="H60" s="259" t="str">
        <f t="shared" si="9"/>
        <v>-</v>
      </c>
      <c r="I60" s="260">
        <f t="shared" si="12"/>
        <v>0</v>
      </c>
      <c r="J60" s="260">
        <f t="shared" si="7"/>
        <v>0</v>
      </c>
    </row>
    <row r="61" spans="2:10" ht="18.75" thickBot="1">
      <c r="B61" s="261" t="s">
        <v>239</v>
      </c>
      <c r="C61" s="262"/>
      <c r="D61" s="262"/>
      <c r="E61" s="262"/>
      <c r="F61" s="262"/>
      <c r="G61" s="263">
        <f>SUM(G10:G60)</f>
        <v>-14760.316329192188</v>
      </c>
      <c r="H61" s="264"/>
      <c r="I61" s="265">
        <f>SUM(I10:I60)</f>
        <v>0</v>
      </c>
      <c r="J61" s="3"/>
    </row>
    <row r="62" spans="2:10" ht="18.75" thickBot="1">
      <c r="B62" s="266" t="s">
        <v>240</v>
      </c>
      <c r="C62" s="267"/>
      <c r="D62" s="267"/>
      <c r="E62" s="267"/>
      <c r="F62" s="267"/>
      <c r="G62" s="268">
        <f>J11</f>
        <v>-4962.332701760497</v>
      </c>
      <c r="H62" s="269"/>
      <c r="I62" s="269"/>
      <c r="J62" s="3"/>
    </row>
    <row r="63" spans="1:10" ht="18.75" thickBot="1">
      <c r="A63" t="s">
        <v>249</v>
      </c>
      <c r="B63" s="270" t="s">
        <v>242</v>
      </c>
      <c r="C63" s="271"/>
      <c r="D63" s="271"/>
      <c r="E63" s="271"/>
      <c r="F63" s="271"/>
      <c r="G63" s="272">
        <f>IRR(E10:E60)</f>
        <v>0.07401922658313602</v>
      </c>
      <c r="H63" s="273"/>
      <c r="I63" s="273"/>
      <c r="J63" s="3"/>
    </row>
    <row r="64" spans="2:10" ht="18.75" thickBot="1">
      <c r="B64" s="261" t="s">
        <v>243</v>
      </c>
      <c r="C64" s="262"/>
      <c r="D64" s="262"/>
      <c r="E64" s="262"/>
      <c r="F64" s="262"/>
      <c r="G64" s="274">
        <f>NPER(C8,G66,G10,0)</f>
        <v>4.72160728455016</v>
      </c>
      <c r="H64" s="275"/>
      <c r="I64" s="275"/>
      <c r="J64" s="3"/>
    </row>
    <row r="65" spans="2:9" ht="12.75" hidden="1">
      <c r="B65" s="12" t="s">
        <v>244</v>
      </c>
      <c r="G65" s="276">
        <f>SUM(G11:G60)</f>
        <v>110239.6836708078</v>
      </c>
      <c r="H65" s="276"/>
      <c r="I65" s="276"/>
    </row>
    <row r="66" spans="2:9" ht="12.75" hidden="1">
      <c r="B66" s="12" t="s">
        <v>245</v>
      </c>
      <c r="G66" s="277">
        <f>PMT(C8,C7,G65,0)*-1</f>
        <v>37061.94197406617</v>
      </c>
      <c r="H66" s="277"/>
      <c r="I66" s="277"/>
    </row>
    <row r="68" spans="1:2" ht="18">
      <c r="A68" t="s">
        <v>249</v>
      </c>
      <c r="B68" s="3" t="s">
        <v>246</v>
      </c>
    </row>
    <row r="69" spans="2:7" ht="78" customHeight="1">
      <c r="B69" s="445" t="s">
        <v>251</v>
      </c>
      <c r="C69" s="445"/>
      <c r="D69" s="445"/>
      <c r="E69" s="445"/>
      <c r="F69" s="445"/>
      <c r="G69" s="445"/>
    </row>
    <row r="70" spans="2:7" ht="23.25">
      <c r="B70" s="278" t="s">
        <v>252</v>
      </c>
      <c r="C70" s="278"/>
      <c r="D70" s="233"/>
      <c r="E70" s="233"/>
      <c r="F70" s="233"/>
      <c r="G70" s="279">
        <f>'Opgave 2.1'!G66</f>
        <v>101198.41835403898</v>
      </c>
    </row>
    <row r="71" spans="2:7" ht="23.25">
      <c r="B71" s="280" t="s">
        <v>253</v>
      </c>
      <c r="C71" s="278"/>
      <c r="D71" s="233"/>
      <c r="E71" s="233"/>
      <c r="F71" s="233"/>
      <c r="G71" s="279">
        <f>'Opgave 2.2'!G66</f>
        <v>86438.10202484686</v>
      </c>
    </row>
    <row r="72" spans="2:7" ht="23.25">
      <c r="B72" s="233" t="s">
        <v>254</v>
      </c>
      <c r="C72" s="233"/>
      <c r="D72" s="233"/>
      <c r="E72" s="233" t="s">
        <v>255</v>
      </c>
      <c r="F72" s="233"/>
      <c r="G72" s="279">
        <f>(G70-G71)/F14</f>
        <v>24066.30624999982</v>
      </c>
    </row>
    <row r="73" spans="2:7" ht="23.25">
      <c r="B73" s="233" t="s">
        <v>256</v>
      </c>
      <c r="C73" s="233"/>
      <c r="D73" s="233"/>
      <c r="E73" s="233"/>
      <c r="F73" s="233"/>
      <c r="G73" s="279">
        <v>60000</v>
      </c>
    </row>
    <row r="74" spans="2:7" ht="23.25">
      <c r="B74" s="281" t="s">
        <v>257</v>
      </c>
      <c r="C74" s="233"/>
      <c r="D74" s="233"/>
      <c r="E74" s="233"/>
      <c r="F74" s="233"/>
      <c r="G74" s="279">
        <v>1</v>
      </c>
    </row>
    <row r="75" spans="2:7" ht="23.25">
      <c r="B75" s="282"/>
      <c r="C75" s="282"/>
      <c r="D75" s="282"/>
      <c r="E75" s="282"/>
      <c r="F75" s="282"/>
      <c r="G75" s="283">
        <f>SUM(G72:G74)</f>
        <v>84067.30624999982</v>
      </c>
    </row>
    <row r="76" spans="2:7" ht="23.25">
      <c r="B76" s="233"/>
      <c r="C76" s="233"/>
      <c r="D76" s="233"/>
      <c r="E76" s="233"/>
      <c r="F76" s="233"/>
      <c r="G76" s="233"/>
    </row>
    <row r="77" spans="2:7" ht="23.25">
      <c r="B77" s="233" t="s">
        <v>258</v>
      </c>
      <c r="C77" s="233"/>
      <c r="D77" s="233"/>
      <c r="E77" s="233"/>
      <c r="F77" s="233"/>
      <c r="G77" s="284">
        <v>50000</v>
      </c>
    </row>
    <row r="78" spans="2:7" ht="23.25">
      <c r="B78" s="281" t="s">
        <v>259</v>
      </c>
      <c r="G78" s="284">
        <f>'[1]Lommeregneren TI-83'!$D$6*-1</f>
        <v>34066.30625000008</v>
      </c>
    </row>
    <row r="79" spans="2:7" ht="23.25">
      <c r="B79" s="282" t="s">
        <v>260</v>
      </c>
      <c r="C79" s="10"/>
      <c r="D79" s="10"/>
      <c r="E79" s="10"/>
      <c r="F79" s="10"/>
      <c r="G79" s="285">
        <f>G77+G78</f>
        <v>84066.30625000008</v>
      </c>
    </row>
    <row r="81" spans="2:7" ht="23.25">
      <c r="B81" s="233" t="s">
        <v>258</v>
      </c>
      <c r="C81" s="233"/>
      <c r="D81" s="233"/>
      <c r="E81" s="233"/>
      <c r="F81" s="233"/>
      <c r="G81" s="284">
        <v>50000</v>
      </c>
    </row>
    <row r="82" spans="2:7" ht="23.25">
      <c r="B82" s="281" t="s">
        <v>259</v>
      </c>
      <c r="G82" s="284">
        <f>'[1]Lommeregneren TI-83'!$D$12*-1</f>
        <v>90199.74448928211</v>
      </c>
    </row>
    <row r="83" spans="2:7" ht="23.25">
      <c r="B83" s="282" t="s">
        <v>260</v>
      </c>
      <c r="C83" s="10"/>
      <c r="D83" s="10"/>
      <c r="E83" s="10"/>
      <c r="F83" s="10"/>
      <c r="G83" s="285">
        <f>G81+G82</f>
        <v>140199.7444892821</v>
      </c>
    </row>
  </sheetData>
  <sheetProtection/>
  <mergeCells count="1">
    <mergeCell ref="B69:G69"/>
  </mergeCells>
  <printOptions/>
  <pageMargins left="0.7874015748031497" right="0.3937007874015748" top="0.984251968503937" bottom="0.984251968503937" header="0" footer="0"/>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O105"/>
  <sheetViews>
    <sheetView view="pageBreakPreview" zoomScale="81" zoomScaleSheetLayoutView="81" zoomScalePageLayoutView="0" workbookViewId="0" topLeftCell="A1">
      <selection activeCell="F22" sqref="F22"/>
    </sheetView>
  </sheetViews>
  <sheetFormatPr defaultColWidth="9.140625" defaultRowHeight="12.75"/>
  <cols>
    <col min="1" max="1" width="36.140625" style="0" customWidth="1"/>
    <col min="2" max="2" width="61.28125" style="0" hidden="1" customWidth="1"/>
    <col min="3" max="3" width="14.421875" style="0" customWidth="1"/>
    <col min="4" max="4" width="12.57421875" style="0" customWidth="1"/>
    <col min="7" max="7" width="11.57421875" style="0" bestFit="1" customWidth="1"/>
    <col min="8" max="8" width="15.421875" style="0" customWidth="1"/>
    <col min="9" max="9" width="10.7109375" style="0" bestFit="1" customWidth="1"/>
    <col min="14" max="14" width="11.57421875" style="0" customWidth="1"/>
  </cols>
  <sheetData>
    <row r="1" spans="1:8" ht="15">
      <c r="A1" s="286" t="s">
        <v>261</v>
      </c>
      <c r="G1" s="286" t="s">
        <v>262</v>
      </c>
      <c r="H1" s="287"/>
    </row>
    <row r="2" spans="1:8" ht="15">
      <c r="A2" s="287" t="s">
        <v>263</v>
      </c>
      <c r="G2" s="287"/>
      <c r="H2" s="287"/>
    </row>
    <row r="3" spans="1:8" ht="15">
      <c r="A3" s="288" t="s">
        <v>264</v>
      </c>
      <c r="G3" s="287" t="s">
        <v>265</v>
      </c>
      <c r="H3" s="287"/>
    </row>
    <row r="4" spans="1:8" ht="15">
      <c r="A4" s="288" t="s">
        <v>266</v>
      </c>
      <c r="G4" s="287"/>
      <c r="H4" s="287"/>
    </row>
    <row r="5" spans="1:8" ht="15">
      <c r="A5" s="288" t="s">
        <v>267</v>
      </c>
      <c r="G5" s="286" t="s">
        <v>268</v>
      </c>
      <c r="H5" s="287"/>
    </row>
    <row r="6" spans="1:8" ht="15">
      <c r="A6" s="288" t="s">
        <v>269</v>
      </c>
      <c r="B6" s="154">
        <f>SUM(100000*84)/100</f>
        <v>84000</v>
      </c>
      <c r="G6" s="287" t="s">
        <v>270</v>
      </c>
      <c r="H6" s="287"/>
    </row>
    <row r="7" spans="1:8" ht="15">
      <c r="A7" s="288" t="s">
        <v>271</v>
      </c>
      <c r="B7" s="154"/>
      <c r="G7" s="287"/>
      <c r="H7" s="287"/>
    </row>
    <row r="8" spans="1:8" ht="15">
      <c r="A8" s="154">
        <v>974650</v>
      </c>
      <c r="B8" s="154"/>
      <c r="C8" t="s">
        <v>199</v>
      </c>
      <c r="G8" s="287"/>
      <c r="H8" s="287"/>
    </row>
    <row r="9" spans="1:8" ht="15">
      <c r="A9" s="288" t="s">
        <v>272</v>
      </c>
      <c r="G9" s="287"/>
      <c r="H9" s="287"/>
    </row>
    <row r="10" spans="1:8" ht="15">
      <c r="A10" s="289" t="s">
        <v>273</v>
      </c>
      <c r="G10" s="287"/>
      <c r="H10" s="287"/>
    </row>
    <row r="11" spans="1:8" ht="15.75" thickBot="1">
      <c r="A11" s="286"/>
      <c r="G11" s="287"/>
      <c r="H11" s="287"/>
    </row>
    <row r="12" spans="1:8" ht="15.75" thickBot="1">
      <c r="A12" s="290"/>
      <c r="B12" s="291" t="s">
        <v>274</v>
      </c>
      <c r="C12" s="291" t="s">
        <v>274</v>
      </c>
      <c r="D12" s="291" t="s">
        <v>39</v>
      </c>
      <c r="G12" s="287"/>
      <c r="H12" s="287"/>
    </row>
    <row r="13" spans="1:8" ht="15">
      <c r="A13" s="147" t="s">
        <v>275</v>
      </c>
      <c r="B13" s="292">
        <v>4</v>
      </c>
      <c r="C13" s="292">
        <v>6.5</v>
      </c>
      <c r="D13" s="293"/>
      <c r="G13" s="287"/>
      <c r="H13" s="287"/>
    </row>
    <row r="14" spans="1:8" ht="15">
      <c r="A14" s="147" t="s">
        <v>276</v>
      </c>
      <c r="B14" s="294"/>
      <c r="C14" s="294"/>
      <c r="D14" s="295">
        <f>RATE(C13,C16,C15,C17)</f>
        <v>0.07192918942004904</v>
      </c>
      <c r="G14" s="287"/>
      <c r="H14" s="287"/>
    </row>
    <row r="15" spans="1:8" ht="15">
      <c r="A15" s="147" t="s">
        <v>277</v>
      </c>
      <c r="B15" s="296">
        <v>84000</v>
      </c>
      <c r="C15" s="296">
        <f>A8</f>
        <v>974650</v>
      </c>
      <c r="D15" s="297"/>
      <c r="G15" s="287"/>
      <c r="H15" s="287"/>
    </row>
    <row r="16" spans="1:8" ht="15">
      <c r="A16" s="147" t="s">
        <v>278</v>
      </c>
      <c r="B16" s="296">
        <v>-4000</v>
      </c>
      <c r="C16" s="296">
        <v>-65650</v>
      </c>
      <c r="D16" s="297"/>
      <c r="G16" s="287"/>
      <c r="H16" s="287"/>
    </row>
    <row r="17" spans="1:8" ht="15.75" thickBot="1">
      <c r="A17" s="298" t="s">
        <v>279</v>
      </c>
      <c r="B17" s="299">
        <v>-100000</v>
      </c>
      <c r="C17" s="299">
        <v>-1010000</v>
      </c>
      <c r="D17" s="300"/>
      <c r="G17" s="287"/>
      <c r="H17" s="287"/>
    </row>
    <row r="18" spans="7:8" ht="15">
      <c r="G18" s="287"/>
      <c r="H18" s="287"/>
    </row>
    <row r="19" spans="1:8" ht="15">
      <c r="A19" s="287" t="s">
        <v>280</v>
      </c>
      <c r="G19" s="287"/>
      <c r="H19" s="287"/>
    </row>
    <row r="20" spans="1:8" ht="15">
      <c r="A20" s="286"/>
      <c r="G20" s="287"/>
      <c r="H20" s="287"/>
    </row>
    <row r="21" spans="1:8" ht="15">
      <c r="A21" s="288" t="s">
        <v>305</v>
      </c>
      <c r="B21" s="288"/>
      <c r="G21" s="287"/>
      <c r="H21" s="287"/>
    </row>
    <row r="22" spans="1:8" ht="15">
      <c r="A22" s="288" t="s">
        <v>281</v>
      </c>
      <c r="B22" s="288"/>
      <c r="G22" s="287"/>
      <c r="H22" s="287"/>
    </row>
    <row r="23" spans="1:8" ht="15">
      <c r="A23" s="288" t="s">
        <v>266</v>
      </c>
      <c r="B23" s="288"/>
      <c r="G23" s="287"/>
      <c r="H23" s="287"/>
    </row>
    <row r="24" spans="1:9" ht="12.75">
      <c r="A24" s="288" t="s">
        <v>267</v>
      </c>
      <c r="C24" s="288"/>
      <c r="E24" s="154"/>
      <c r="I24" s="154"/>
    </row>
    <row r="25" spans="1:5" ht="12.75">
      <c r="A25" s="288" t="s">
        <v>269</v>
      </c>
      <c r="C25" s="288"/>
      <c r="E25" s="154"/>
    </row>
    <row r="26" spans="1:15" ht="12.75">
      <c r="A26" s="288" t="s">
        <v>282</v>
      </c>
      <c r="H26" s="301"/>
      <c r="I26" s="301"/>
      <c r="J26" s="301"/>
      <c r="K26" s="301"/>
      <c r="L26" s="301"/>
      <c r="M26" s="301"/>
      <c r="N26" s="301"/>
      <c r="O26" s="301"/>
    </row>
    <row r="27" spans="1:15" ht="12.75">
      <c r="A27" s="154">
        <v>975000</v>
      </c>
      <c r="C27" s="288" t="s">
        <v>199</v>
      </c>
      <c r="H27" s="302"/>
      <c r="I27" s="302"/>
      <c r="J27" s="302"/>
      <c r="K27" s="301"/>
      <c r="L27" s="301"/>
      <c r="M27" s="301"/>
      <c r="N27" s="301"/>
      <c r="O27" s="301"/>
    </row>
    <row r="28" spans="8:15" ht="12.75">
      <c r="H28" s="302"/>
      <c r="I28" s="303"/>
      <c r="J28" s="303"/>
      <c r="K28" s="301"/>
      <c r="L28" s="301"/>
      <c r="M28" s="301"/>
      <c r="N28" s="301"/>
      <c r="O28" s="301"/>
    </row>
    <row r="29" spans="8:15" ht="13.5" thickBot="1">
      <c r="H29" s="302"/>
      <c r="I29" s="304"/>
      <c r="J29" s="305"/>
      <c r="K29" s="301"/>
      <c r="L29" s="301"/>
      <c r="M29" s="301"/>
      <c r="N29" s="301"/>
      <c r="O29" s="301"/>
    </row>
    <row r="30" spans="1:15" ht="13.5" thickBot="1">
      <c r="A30" s="290"/>
      <c r="B30" s="306"/>
      <c r="C30" s="291" t="s">
        <v>274</v>
      </c>
      <c r="D30" s="291" t="s">
        <v>39</v>
      </c>
      <c r="H30" s="302"/>
      <c r="I30" s="307"/>
      <c r="J30" s="307"/>
      <c r="K30" s="301"/>
      <c r="L30" s="301"/>
      <c r="M30" s="301"/>
      <c r="N30" s="301"/>
      <c r="O30" s="301"/>
    </row>
    <row r="31" spans="1:15" ht="12.75">
      <c r="A31" s="147" t="s">
        <v>275</v>
      </c>
      <c r="B31" s="308" t="s">
        <v>283</v>
      </c>
      <c r="C31" s="292">
        <v>4</v>
      </c>
      <c r="D31" s="293"/>
      <c r="H31" s="302"/>
      <c r="I31" s="307"/>
      <c r="J31" s="307"/>
      <c r="K31" s="301"/>
      <c r="L31" s="301"/>
      <c r="M31" s="301"/>
      <c r="N31" s="301"/>
      <c r="O31" s="301"/>
    </row>
    <row r="32" spans="1:15" ht="12.75">
      <c r="A32" s="147" t="s">
        <v>276</v>
      </c>
      <c r="B32" s="308" t="s">
        <v>284</v>
      </c>
      <c r="C32" s="294">
        <v>0.06</v>
      </c>
      <c r="D32" s="309"/>
      <c r="H32" s="302"/>
      <c r="I32" s="307"/>
      <c r="J32" s="307"/>
      <c r="K32" s="301"/>
      <c r="L32" s="301"/>
      <c r="M32" s="301"/>
      <c r="N32" s="301"/>
      <c r="O32" s="301"/>
    </row>
    <row r="33" spans="1:15" ht="12.75">
      <c r="A33" s="147" t="s">
        <v>277</v>
      </c>
      <c r="B33" s="308" t="s">
        <v>285</v>
      </c>
      <c r="C33" s="296">
        <v>1000000</v>
      </c>
      <c r="D33" s="297"/>
      <c r="H33" s="301"/>
      <c r="I33" s="301"/>
      <c r="J33" s="301"/>
      <c r="K33" s="301"/>
      <c r="L33" s="301"/>
      <c r="M33" s="301"/>
      <c r="N33" s="301"/>
      <c r="O33" s="301"/>
    </row>
    <row r="34" spans="1:15" ht="15">
      <c r="A34" s="147" t="s">
        <v>278</v>
      </c>
      <c r="B34" s="308" t="s">
        <v>286</v>
      </c>
      <c r="C34" s="296">
        <v>0</v>
      </c>
      <c r="D34" s="297">
        <f>PMT(C32,C31,C33,C35)</f>
        <v>-288591.4923732732</v>
      </c>
      <c r="H34" s="310"/>
      <c r="I34" s="301"/>
      <c r="J34" s="301"/>
      <c r="K34" s="301"/>
      <c r="L34" s="301"/>
      <c r="M34" s="301"/>
      <c r="N34" s="301"/>
      <c r="O34" s="301"/>
    </row>
    <row r="35" spans="1:4" ht="13.5" thickBot="1">
      <c r="A35" s="147" t="s">
        <v>279</v>
      </c>
      <c r="B35" s="308" t="s">
        <v>287</v>
      </c>
      <c r="C35" s="299">
        <v>0</v>
      </c>
      <c r="D35" s="300"/>
    </row>
    <row r="36" ht="13.5" thickBot="1"/>
    <row r="37" spans="1:10" ht="13.5" thickBot="1">
      <c r="A37" s="102" t="s">
        <v>288</v>
      </c>
      <c r="C37" s="291" t="s">
        <v>274</v>
      </c>
      <c r="D37" s="291" t="s">
        <v>39</v>
      </c>
      <c r="F37" s="311"/>
      <c r="H37" s="302"/>
      <c r="I37" s="307"/>
      <c r="J37" s="307"/>
    </row>
    <row r="38" spans="1:10" ht="12.75">
      <c r="A38" s="147" t="s">
        <v>275</v>
      </c>
      <c r="B38" s="308" t="s">
        <v>283</v>
      </c>
      <c r="C38" s="292">
        <v>4</v>
      </c>
      <c r="D38" s="293"/>
      <c r="H38" s="301"/>
      <c r="I38" s="301"/>
      <c r="J38" s="301"/>
    </row>
    <row r="39" spans="1:10" ht="15">
      <c r="A39" s="147" t="s">
        <v>276</v>
      </c>
      <c r="B39" s="308" t="s">
        <v>284</v>
      </c>
      <c r="C39" s="312"/>
      <c r="D39" s="295">
        <f>RATE(C38,C41,C40,C42)</f>
        <v>0.07114450540471368</v>
      </c>
      <c r="E39" s="287"/>
      <c r="H39" s="310"/>
      <c r="I39" s="301"/>
      <c r="J39" s="301"/>
    </row>
    <row r="40" spans="1:4" ht="12.75">
      <c r="A40" s="147" t="s">
        <v>277</v>
      </c>
      <c r="B40" s="308" t="s">
        <v>285</v>
      </c>
      <c r="C40" s="313">
        <v>975000</v>
      </c>
      <c r="D40" s="297"/>
    </row>
    <row r="41" spans="1:4" ht="12.75">
      <c r="A41" s="147" t="s">
        <v>278</v>
      </c>
      <c r="B41" s="308" t="s">
        <v>286</v>
      </c>
      <c r="C41" s="313">
        <f>D34</f>
        <v>-288591.4923732732</v>
      </c>
      <c r="D41" s="297"/>
    </row>
    <row r="42" spans="1:4" ht="13.5" thickBot="1">
      <c r="A42" s="147" t="s">
        <v>279</v>
      </c>
      <c r="B42" s="308" t="s">
        <v>287</v>
      </c>
      <c r="C42" s="314"/>
      <c r="D42" s="300"/>
    </row>
    <row r="43" spans="3:4" ht="12.75">
      <c r="C43" s="307"/>
      <c r="D43" s="307"/>
    </row>
    <row r="44" spans="1:4" ht="15">
      <c r="A44" s="287" t="s">
        <v>289</v>
      </c>
      <c r="C44" s="87"/>
      <c r="D44" s="87"/>
    </row>
    <row r="46" ht="15">
      <c r="A46" s="286">
        <v>3</v>
      </c>
    </row>
    <row r="47" ht="15">
      <c r="A47" s="288" t="s">
        <v>306</v>
      </c>
    </row>
    <row r="48" ht="12.75">
      <c r="A48" s="288" t="s">
        <v>290</v>
      </c>
    </row>
    <row r="49" ht="12.75">
      <c r="A49" s="288" t="s">
        <v>266</v>
      </c>
    </row>
    <row r="50" ht="12.75">
      <c r="A50" s="288" t="s">
        <v>291</v>
      </c>
    </row>
    <row r="51" ht="12.75">
      <c r="A51" s="288" t="s">
        <v>269</v>
      </c>
    </row>
    <row r="52" ht="12.75">
      <c r="A52" s="288" t="s">
        <v>292</v>
      </c>
    </row>
    <row r="53" ht="12.75">
      <c r="A53" s="154">
        <v>975100</v>
      </c>
    </row>
    <row r="54" spans="3:5" ht="12.75">
      <c r="C54" s="315"/>
      <c r="D54" s="316" t="s">
        <v>199</v>
      </c>
      <c r="E54" s="154"/>
    </row>
    <row r="55" spans="1:7" ht="12.75">
      <c r="A55" s="288" t="s">
        <v>293</v>
      </c>
      <c r="G55" t="s">
        <v>294</v>
      </c>
    </row>
    <row r="56" spans="1:6" ht="12.75">
      <c r="A56" s="70" t="s">
        <v>295</v>
      </c>
      <c r="C56" s="70" t="s">
        <v>296</v>
      </c>
      <c r="D56" s="317" t="s">
        <v>297</v>
      </c>
      <c r="E56" s="70" t="s">
        <v>298</v>
      </c>
      <c r="F56" s="70" t="s">
        <v>299</v>
      </c>
    </row>
    <row r="57" spans="1:8" ht="12.75">
      <c r="A57" s="70">
        <v>1</v>
      </c>
      <c r="B57" s="154"/>
      <c r="C57" s="318">
        <v>1015000</v>
      </c>
      <c r="D57" s="319">
        <f>(C57*0.065)</f>
        <v>65975</v>
      </c>
      <c r="E57" s="318">
        <v>243775</v>
      </c>
      <c r="F57" s="318">
        <f>D57+E57</f>
        <v>309750</v>
      </c>
      <c r="G57" s="154">
        <f>A53</f>
        <v>975100</v>
      </c>
      <c r="H57" s="154"/>
    </row>
    <row r="58" spans="1:8" ht="12.75">
      <c r="A58" s="70">
        <v>2</v>
      </c>
      <c r="B58" s="154"/>
      <c r="C58" s="318">
        <f>C57-F57</f>
        <v>705250</v>
      </c>
      <c r="D58" s="319">
        <f>(C58*0.065)</f>
        <v>45841.25</v>
      </c>
      <c r="E58" s="318">
        <v>243775</v>
      </c>
      <c r="F58" s="318">
        <f>D58+E58</f>
        <v>289616.25</v>
      </c>
      <c r="G58" s="154">
        <v>-309750</v>
      </c>
      <c r="H58" s="154"/>
    </row>
    <row r="59" spans="1:8" ht="12.75">
      <c r="A59" s="70">
        <v>3</v>
      </c>
      <c r="B59" s="154"/>
      <c r="C59" s="318">
        <f>C58-F58</f>
        <v>415633.75</v>
      </c>
      <c r="D59" s="319">
        <f>(C59*0.05)</f>
        <v>20781.6875</v>
      </c>
      <c r="E59" s="318">
        <v>243775</v>
      </c>
      <c r="F59" s="318">
        <f>D59+E59</f>
        <v>264556.6875</v>
      </c>
      <c r="G59" s="154">
        <v>-289616</v>
      </c>
      <c r="H59" s="154"/>
    </row>
    <row r="60" spans="1:8" ht="12.75">
      <c r="A60" s="70">
        <v>4</v>
      </c>
      <c r="B60" s="154"/>
      <c r="C60" s="318">
        <f>C59-F59</f>
        <v>151077.0625</v>
      </c>
      <c r="D60" s="319">
        <f>(C60*0.05)</f>
        <v>7553.853125000001</v>
      </c>
      <c r="E60" s="318">
        <v>243775</v>
      </c>
      <c r="F60" s="318">
        <f>D60+E60</f>
        <v>251328.853125</v>
      </c>
      <c r="G60" s="154">
        <v>-264557</v>
      </c>
      <c r="H60" s="154"/>
    </row>
    <row r="61" spans="3:8" ht="12.75">
      <c r="C61" s="70"/>
      <c r="D61" s="70"/>
      <c r="E61" s="70"/>
      <c r="F61" s="70"/>
      <c r="G61" s="154">
        <v>-251329</v>
      </c>
      <c r="H61" s="154"/>
    </row>
    <row r="62" spans="1:8" ht="15">
      <c r="A62" s="287" t="s">
        <v>300</v>
      </c>
      <c r="G62" s="320">
        <f>IRR(G57:G61)</f>
        <v>0.058174758312933936</v>
      </c>
      <c r="H62" s="320"/>
    </row>
    <row r="63" spans="1:10" ht="15">
      <c r="A63" s="310"/>
      <c r="B63" s="301"/>
      <c r="C63" s="301"/>
      <c r="D63" s="301"/>
      <c r="E63" s="301"/>
      <c r="F63" s="301"/>
      <c r="G63" s="301"/>
      <c r="H63" s="301"/>
      <c r="I63" s="301"/>
      <c r="J63" s="301"/>
    </row>
    <row r="64" spans="1:10" ht="12.75">
      <c r="A64" s="301"/>
      <c r="B64" s="301"/>
      <c r="C64" s="301"/>
      <c r="D64" s="301"/>
      <c r="E64" s="301"/>
      <c r="F64" s="301"/>
      <c r="G64" s="301"/>
      <c r="H64" s="301"/>
      <c r="I64" s="301"/>
      <c r="J64" s="301"/>
    </row>
    <row r="65" spans="1:10" ht="12.75">
      <c r="A65" s="301"/>
      <c r="B65" s="301"/>
      <c r="C65" s="321"/>
      <c r="D65" s="301"/>
      <c r="E65" s="301"/>
      <c r="F65" s="301"/>
      <c r="G65" s="301"/>
      <c r="H65" s="301"/>
      <c r="I65" s="301"/>
      <c r="J65" s="301"/>
    </row>
    <row r="66" spans="1:10" ht="12.75">
      <c r="A66" s="302"/>
      <c r="B66" s="302"/>
      <c r="C66" s="302"/>
      <c r="D66" s="302"/>
      <c r="E66" s="301"/>
      <c r="F66" s="301"/>
      <c r="G66" s="301"/>
      <c r="H66" s="301"/>
      <c r="I66" s="301"/>
      <c r="J66" s="301"/>
    </row>
    <row r="67" spans="1:10" ht="12.75">
      <c r="A67" s="302"/>
      <c r="B67" s="302"/>
      <c r="C67" s="303"/>
      <c r="D67" s="303"/>
      <c r="E67" s="301"/>
      <c r="F67" s="301"/>
      <c r="G67" s="301"/>
      <c r="H67" s="301"/>
      <c r="I67" s="301"/>
      <c r="J67" s="301"/>
    </row>
    <row r="68" spans="1:10" ht="12.75">
      <c r="A68" s="302"/>
      <c r="B68" s="302"/>
      <c r="C68" s="304"/>
      <c r="D68" s="322"/>
      <c r="E68" s="301"/>
      <c r="F68" s="301"/>
      <c r="G68" s="301"/>
      <c r="H68" s="301"/>
      <c r="I68" s="301"/>
      <c r="J68" s="301"/>
    </row>
    <row r="69" spans="1:10" ht="12.75">
      <c r="A69" s="302"/>
      <c r="B69" s="302"/>
      <c r="C69" s="307"/>
      <c r="D69" s="307"/>
      <c r="E69" s="301"/>
      <c r="F69" s="301"/>
      <c r="G69" s="301"/>
      <c r="H69" s="301"/>
      <c r="I69" s="301"/>
      <c r="J69" s="301"/>
    </row>
    <row r="70" spans="1:10" ht="12.75">
      <c r="A70" s="302"/>
      <c r="B70" s="302"/>
      <c r="C70" s="307"/>
      <c r="D70" s="307"/>
      <c r="E70" s="301"/>
      <c r="F70" s="301"/>
      <c r="G70" s="301"/>
      <c r="H70" s="301"/>
      <c r="I70" s="301"/>
      <c r="J70" s="301"/>
    </row>
    <row r="71" spans="1:10" ht="12.75">
      <c r="A71" s="302"/>
      <c r="B71" s="302"/>
      <c r="C71" s="307"/>
      <c r="D71" s="307"/>
      <c r="E71" s="301"/>
      <c r="F71" s="301"/>
      <c r="G71" s="301"/>
      <c r="H71" s="301"/>
      <c r="I71" s="301"/>
      <c r="J71" s="301"/>
    </row>
    <row r="72" spans="1:10" ht="12.75">
      <c r="A72" s="302"/>
      <c r="B72" s="302"/>
      <c r="C72" s="307"/>
      <c r="D72" s="307"/>
      <c r="E72" s="301"/>
      <c r="F72" s="301"/>
      <c r="G72" s="301"/>
      <c r="H72" s="301"/>
      <c r="I72" s="301"/>
      <c r="J72" s="301"/>
    </row>
    <row r="73" spans="1:10" ht="12.75">
      <c r="A73" s="301"/>
      <c r="B73" s="301"/>
      <c r="C73" s="301"/>
      <c r="D73" s="301"/>
      <c r="E73" s="301"/>
      <c r="F73" s="301"/>
      <c r="G73" s="301"/>
      <c r="H73" s="301"/>
      <c r="I73" s="301"/>
      <c r="J73" s="301"/>
    </row>
    <row r="74" spans="1:10" ht="12.75">
      <c r="A74" s="301"/>
      <c r="B74" s="323"/>
      <c r="C74" s="321"/>
      <c r="D74" s="323"/>
      <c r="E74" s="301"/>
      <c r="F74" s="301"/>
      <c r="G74" s="301"/>
      <c r="H74" s="301"/>
      <c r="I74" s="301"/>
      <c r="J74" s="301"/>
    </row>
    <row r="75" spans="1:10" ht="15">
      <c r="A75" s="310"/>
      <c r="B75" s="301"/>
      <c r="C75" s="301"/>
      <c r="D75" s="301"/>
      <c r="E75" s="301"/>
      <c r="F75" s="301"/>
      <c r="G75" s="301"/>
      <c r="H75" s="301"/>
      <c r="I75" s="301"/>
      <c r="J75" s="301"/>
    </row>
    <row r="76" spans="1:10" ht="15">
      <c r="A76" s="310"/>
      <c r="B76" s="310"/>
      <c r="C76" s="310"/>
      <c r="D76" s="310"/>
      <c r="E76" s="310"/>
      <c r="F76" s="310"/>
      <c r="G76" s="310"/>
      <c r="H76" s="310"/>
      <c r="I76" s="310"/>
      <c r="J76" s="310"/>
    </row>
    <row r="77" spans="1:10" ht="15">
      <c r="A77" s="301"/>
      <c r="B77" s="301"/>
      <c r="C77" s="310"/>
      <c r="D77" s="324"/>
      <c r="E77" s="324"/>
      <c r="F77" s="301"/>
      <c r="G77" s="301"/>
      <c r="H77" s="301"/>
      <c r="I77" s="301"/>
      <c r="J77" s="301"/>
    </row>
    <row r="78" spans="1:10" ht="12.75">
      <c r="A78" s="301"/>
      <c r="B78" s="324"/>
      <c r="C78" s="301"/>
      <c r="D78" s="321"/>
      <c r="E78" s="323"/>
      <c r="F78" s="301"/>
      <c r="G78" s="301"/>
      <c r="H78" s="301"/>
      <c r="I78" s="301"/>
      <c r="J78" s="301"/>
    </row>
    <row r="79" spans="1:10" ht="12.75">
      <c r="A79" s="301"/>
      <c r="B79" s="324"/>
      <c r="C79" s="301"/>
      <c r="D79" s="321"/>
      <c r="E79" s="301"/>
      <c r="F79" s="301"/>
      <c r="G79" s="301"/>
      <c r="H79" s="301"/>
      <c r="I79" s="301"/>
      <c r="J79" s="301"/>
    </row>
    <row r="80" spans="1:10" ht="12.75">
      <c r="A80" s="301"/>
      <c r="B80" s="324"/>
      <c r="C80" s="301"/>
      <c r="D80" s="321"/>
      <c r="E80" s="301"/>
      <c r="F80" s="301"/>
      <c r="G80" s="301"/>
      <c r="H80" s="301"/>
      <c r="I80" s="301"/>
      <c r="J80" s="301"/>
    </row>
    <row r="81" spans="1:10" ht="12.75">
      <c r="A81" s="301"/>
      <c r="B81" s="301"/>
      <c r="C81" s="301"/>
      <c r="D81" s="301"/>
      <c r="E81" s="301"/>
      <c r="F81" s="301"/>
      <c r="G81" s="301"/>
      <c r="H81" s="301"/>
      <c r="I81" s="301"/>
      <c r="J81" s="301"/>
    </row>
    <row r="82" spans="1:10" ht="12.75">
      <c r="A82" s="301"/>
      <c r="B82" s="301"/>
      <c r="C82" s="301"/>
      <c r="D82" s="301"/>
      <c r="E82" s="301"/>
      <c r="F82" s="301"/>
      <c r="G82" s="301"/>
      <c r="H82" s="301"/>
      <c r="I82" s="301"/>
      <c r="J82" s="301"/>
    </row>
    <row r="83" spans="1:10" ht="12.75">
      <c r="A83" s="301"/>
      <c r="B83" s="301"/>
      <c r="C83" s="301"/>
      <c r="D83" s="301"/>
      <c r="E83" s="301"/>
      <c r="F83" s="301"/>
      <c r="G83" s="301"/>
      <c r="H83" s="301"/>
      <c r="I83" s="301"/>
      <c r="J83" s="301"/>
    </row>
    <row r="84" spans="1:10" ht="12.75">
      <c r="A84" s="301"/>
      <c r="B84" s="301"/>
      <c r="C84" s="301"/>
      <c r="D84" s="301"/>
      <c r="E84" s="301"/>
      <c r="F84" s="301"/>
      <c r="G84" s="301"/>
      <c r="H84" s="301"/>
      <c r="I84" s="301"/>
      <c r="J84" s="301"/>
    </row>
    <row r="85" spans="1:10" ht="12.75">
      <c r="A85" s="301"/>
      <c r="B85" s="301"/>
      <c r="C85" s="301"/>
      <c r="D85" s="301"/>
      <c r="E85" s="301"/>
      <c r="F85" s="301"/>
      <c r="G85" s="301"/>
      <c r="H85" s="301"/>
      <c r="I85" s="301"/>
      <c r="J85" s="301"/>
    </row>
    <row r="86" spans="1:10" ht="12.75">
      <c r="A86" s="301"/>
      <c r="B86" s="301"/>
      <c r="C86" s="301"/>
      <c r="D86" s="301"/>
      <c r="E86" s="301"/>
      <c r="F86" s="301"/>
      <c r="G86" s="301"/>
      <c r="H86" s="301"/>
      <c r="I86" s="301"/>
      <c r="J86" s="301"/>
    </row>
    <row r="87" spans="1:10" ht="12.75">
      <c r="A87" s="301"/>
      <c r="B87" s="301"/>
      <c r="C87" s="301"/>
      <c r="D87" s="301"/>
      <c r="E87" s="301"/>
      <c r="F87" s="301"/>
      <c r="G87" s="301"/>
      <c r="H87" s="301"/>
      <c r="I87" s="301"/>
      <c r="J87" s="301"/>
    </row>
    <row r="88" spans="1:10" ht="12.75">
      <c r="A88" s="301"/>
      <c r="B88" s="301"/>
      <c r="C88" s="301"/>
      <c r="D88" s="301"/>
      <c r="E88" s="301"/>
      <c r="F88" s="301"/>
      <c r="G88" s="301"/>
      <c r="H88" s="301"/>
      <c r="I88" s="301"/>
      <c r="J88" s="301"/>
    </row>
    <row r="89" spans="1:10" ht="12.75">
      <c r="A89" s="301"/>
      <c r="B89" s="301"/>
      <c r="C89" s="301"/>
      <c r="D89" s="301"/>
      <c r="E89" s="301"/>
      <c r="F89" s="301"/>
      <c r="G89" s="301"/>
      <c r="H89" s="301"/>
      <c r="I89" s="301"/>
      <c r="J89" s="301"/>
    </row>
    <row r="90" spans="1:10" ht="12.75">
      <c r="A90" s="301"/>
      <c r="B90" s="301"/>
      <c r="C90" s="301"/>
      <c r="D90" s="301"/>
      <c r="E90" s="301"/>
      <c r="F90" s="301"/>
      <c r="G90" s="301"/>
      <c r="H90" s="301"/>
      <c r="I90" s="301"/>
      <c r="J90" s="301"/>
    </row>
    <row r="91" spans="1:10" ht="12.75">
      <c r="A91" s="301"/>
      <c r="B91" s="301"/>
      <c r="C91" s="301"/>
      <c r="D91" s="301"/>
      <c r="E91" s="301"/>
      <c r="F91" s="301"/>
      <c r="G91" s="301"/>
      <c r="H91" s="301"/>
      <c r="I91" s="301"/>
      <c r="J91" s="301"/>
    </row>
    <row r="92" spans="1:10" ht="12.75">
      <c r="A92" s="301"/>
      <c r="B92" s="301"/>
      <c r="C92" s="301"/>
      <c r="D92" s="301"/>
      <c r="E92" s="301"/>
      <c r="F92" s="301"/>
      <c r="G92" s="301"/>
      <c r="H92" s="301"/>
      <c r="I92" s="301"/>
      <c r="J92" s="301"/>
    </row>
    <row r="93" spans="1:10" ht="12.75">
      <c r="A93" s="301"/>
      <c r="B93" s="301"/>
      <c r="C93" s="301"/>
      <c r="D93" s="301"/>
      <c r="E93" s="301"/>
      <c r="F93" s="301"/>
      <c r="G93" s="301"/>
      <c r="H93" s="301"/>
      <c r="I93" s="301"/>
      <c r="J93" s="301"/>
    </row>
    <row r="94" spans="1:10" ht="12.75">
      <c r="A94" s="301"/>
      <c r="B94" s="301"/>
      <c r="C94" s="301"/>
      <c r="D94" s="301"/>
      <c r="E94" s="301"/>
      <c r="F94" s="301"/>
      <c r="G94" s="301"/>
      <c r="H94" s="301"/>
      <c r="I94" s="301"/>
      <c r="J94" s="301"/>
    </row>
    <row r="95" spans="1:10" ht="12.75">
      <c r="A95" s="301"/>
      <c r="B95" s="301"/>
      <c r="C95" s="301"/>
      <c r="D95" s="301"/>
      <c r="E95" s="301"/>
      <c r="F95" s="301"/>
      <c r="G95" s="301"/>
      <c r="H95" s="301"/>
      <c r="I95" s="301"/>
      <c r="J95" s="301"/>
    </row>
    <row r="96" spans="1:10" ht="12.75">
      <c r="A96" s="301"/>
      <c r="B96" s="301"/>
      <c r="C96" s="301"/>
      <c r="D96" s="301"/>
      <c r="E96" s="301"/>
      <c r="F96" s="301"/>
      <c r="G96" s="301"/>
      <c r="H96" s="301"/>
      <c r="I96" s="301"/>
      <c r="J96" s="301"/>
    </row>
    <row r="97" spans="1:10" ht="12.75">
      <c r="A97" s="301"/>
      <c r="B97" s="301"/>
      <c r="C97" s="301"/>
      <c r="D97" s="301"/>
      <c r="E97" s="301"/>
      <c r="F97" s="301"/>
      <c r="G97" s="301"/>
      <c r="H97" s="301"/>
      <c r="I97" s="301"/>
      <c r="J97" s="301"/>
    </row>
    <row r="98" spans="1:10" ht="12.75">
      <c r="A98" s="301"/>
      <c r="B98" s="301"/>
      <c r="C98" s="301"/>
      <c r="D98" s="301"/>
      <c r="E98" s="301"/>
      <c r="F98" s="301"/>
      <c r="G98" s="301"/>
      <c r="H98" s="301"/>
      <c r="I98" s="301"/>
      <c r="J98" s="301"/>
    </row>
    <row r="99" spans="1:10" ht="12.75">
      <c r="A99" s="301"/>
      <c r="B99" s="301"/>
      <c r="C99" s="301"/>
      <c r="D99" s="301"/>
      <c r="E99" s="301"/>
      <c r="F99" s="301"/>
      <c r="G99" s="301"/>
      <c r="H99" s="301"/>
      <c r="I99" s="301"/>
      <c r="J99" s="301"/>
    </row>
    <row r="100" spans="1:10" ht="12.75">
      <c r="A100" s="301"/>
      <c r="B100" s="301"/>
      <c r="C100" s="301"/>
      <c r="D100" s="301"/>
      <c r="E100" s="301"/>
      <c r="F100" s="301"/>
      <c r="G100" s="301"/>
      <c r="H100" s="301"/>
      <c r="I100" s="301"/>
      <c r="J100" s="301"/>
    </row>
    <row r="101" spans="1:10" ht="12.75">
      <c r="A101" s="301"/>
      <c r="B101" s="301"/>
      <c r="C101" s="301"/>
      <c r="D101" s="301"/>
      <c r="E101" s="301"/>
      <c r="F101" s="301"/>
      <c r="G101" s="301"/>
      <c r="H101" s="301"/>
      <c r="I101" s="301"/>
      <c r="J101" s="301"/>
    </row>
    <row r="102" spans="1:10" ht="12.75">
      <c r="A102" s="301"/>
      <c r="B102" s="301"/>
      <c r="C102" s="301"/>
      <c r="D102" s="301"/>
      <c r="E102" s="301"/>
      <c r="F102" s="301"/>
      <c r="G102" s="301"/>
      <c r="H102" s="301"/>
      <c r="I102" s="301"/>
      <c r="J102" s="301"/>
    </row>
    <row r="103" spans="1:10" ht="12.75">
      <c r="A103" s="301"/>
      <c r="B103" s="301"/>
      <c r="C103" s="301"/>
      <c r="D103" s="301"/>
      <c r="E103" s="301"/>
      <c r="F103" s="301"/>
      <c r="G103" s="301"/>
      <c r="H103" s="301"/>
      <c r="I103" s="301"/>
      <c r="J103" s="301"/>
    </row>
    <row r="104" spans="1:10" ht="12.75">
      <c r="A104" s="301"/>
      <c r="B104" s="301"/>
      <c r="C104" s="301"/>
      <c r="D104" s="301"/>
      <c r="E104" s="301"/>
      <c r="F104" s="301"/>
      <c r="G104" s="301"/>
      <c r="H104" s="301"/>
      <c r="I104" s="301"/>
      <c r="J104" s="301"/>
    </row>
    <row r="105" spans="1:10" ht="12.75">
      <c r="A105" s="301"/>
      <c r="B105" s="301"/>
      <c r="C105" s="301"/>
      <c r="D105" s="301"/>
      <c r="E105" s="301"/>
      <c r="F105" s="301"/>
      <c r="G105" s="301"/>
      <c r="H105" s="301"/>
      <c r="I105" s="301"/>
      <c r="J105" s="301"/>
    </row>
  </sheetData>
  <sheetProtection/>
  <printOptions/>
  <pageMargins left="0.75" right="0.75" top="1" bottom="1" header="0.5" footer="0.5"/>
  <pageSetup horizontalDpi="300" verticalDpi="300" orientation="portrait" paperSize="9" scale="51" r:id="rId1"/>
  <colBreaks count="1" manualBreakCount="1">
    <brk id="14" max="104" man="1"/>
  </colBreaks>
</worksheet>
</file>

<file path=xl/worksheets/sheet7.xml><?xml version="1.0" encoding="utf-8"?>
<worksheet xmlns="http://schemas.openxmlformats.org/spreadsheetml/2006/main" xmlns:r="http://schemas.openxmlformats.org/officeDocument/2006/relationships">
  <dimension ref="A1:K387"/>
  <sheetViews>
    <sheetView zoomScale="140" zoomScaleNormal="140" workbookViewId="0" topLeftCell="A1">
      <selection activeCell="F20" sqref="F20"/>
    </sheetView>
  </sheetViews>
  <sheetFormatPr defaultColWidth="9.140625" defaultRowHeight="12.75"/>
  <cols>
    <col min="1" max="1" width="6.28125" style="0" customWidth="1"/>
    <col min="2" max="2" width="13.8515625" style="0" customWidth="1"/>
    <col min="3" max="3" width="15.7109375" style="0" customWidth="1"/>
    <col min="4" max="4" width="17.421875" style="0" customWidth="1"/>
    <col min="5" max="5" width="13.57421875" style="0" customWidth="1"/>
    <col min="6" max="6" width="14.57421875" style="0" customWidth="1"/>
    <col min="7" max="7" width="14.421875" style="0" customWidth="1"/>
  </cols>
  <sheetData>
    <row r="1" spans="1:7" ht="27" thickBot="1">
      <c r="A1" s="446" t="s">
        <v>307</v>
      </c>
      <c r="B1" s="447"/>
      <c r="C1" s="447"/>
      <c r="D1" s="447"/>
      <c r="E1" s="447"/>
      <c r="F1" s="447"/>
      <c r="G1" s="448"/>
    </row>
    <row r="2" spans="1:7" ht="12.75">
      <c r="A2" s="449" t="s">
        <v>308</v>
      </c>
      <c r="B2" s="450"/>
      <c r="C2" s="450"/>
      <c r="D2" s="325">
        <v>1010000</v>
      </c>
      <c r="E2" s="87"/>
      <c r="F2" s="87"/>
      <c r="G2" s="326"/>
    </row>
    <row r="3" spans="1:7" ht="12.75">
      <c r="A3" s="451" t="s">
        <v>309</v>
      </c>
      <c r="B3" s="452"/>
      <c r="C3" s="452"/>
      <c r="D3" s="329">
        <v>97.5</v>
      </c>
      <c r="E3" s="87"/>
      <c r="F3" s="87"/>
      <c r="G3" s="326"/>
    </row>
    <row r="4" spans="1:7" ht="12.75">
      <c r="A4" s="451" t="s">
        <v>310</v>
      </c>
      <c r="B4" s="452"/>
      <c r="C4" s="452"/>
      <c r="D4" s="330">
        <v>10000</v>
      </c>
      <c r="E4" s="87"/>
      <c r="F4" s="87"/>
      <c r="G4" s="326"/>
    </row>
    <row r="5" spans="1:7" ht="13.5" thickBot="1">
      <c r="A5" s="451" t="s">
        <v>311</v>
      </c>
      <c r="B5" s="452"/>
      <c r="C5" s="452"/>
      <c r="D5" s="331">
        <f>(D2*(D3/100))-D4</f>
        <v>974750</v>
      </c>
      <c r="E5" s="87"/>
      <c r="F5" s="87"/>
      <c r="G5" s="326"/>
    </row>
    <row r="6" spans="1:7" ht="13.5" thickTop="1">
      <c r="A6" s="451" t="s">
        <v>312</v>
      </c>
      <c r="B6" s="452"/>
      <c r="C6" s="452"/>
      <c r="D6" s="332">
        <v>0.06</v>
      </c>
      <c r="E6" s="87"/>
      <c r="F6" s="87"/>
      <c r="G6" s="326"/>
    </row>
    <row r="7" spans="1:7" ht="12.75">
      <c r="A7" s="451" t="s">
        <v>313</v>
      </c>
      <c r="B7" s="452"/>
      <c r="C7" s="452"/>
      <c r="D7" s="333">
        <v>4</v>
      </c>
      <c r="E7" s="87"/>
      <c r="F7" s="87"/>
      <c r="G7" s="326"/>
    </row>
    <row r="8" spans="1:7" ht="12.75">
      <c r="A8" s="451" t="s">
        <v>314</v>
      </c>
      <c r="B8" s="452"/>
      <c r="C8" s="452"/>
      <c r="D8" s="333">
        <v>1</v>
      </c>
      <c r="E8" s="87"/>
      <c r="F8" s="87"/>
      <c r="G8" s="326"/>
    </row>
    <row r="9" spans="1:7" ht="12.75">
      <c r="A9" s="451" t="s">
        <v>315</v>
      </c>
      <c r="B9" s="452"/>
      <c r="C9" s="452"/>
      <c r="D9" s="334">
        <f>D7*D8</f>
        <v>4</v>
      </c>
      <c r="E9" s="87"/>
      <c r="F9" s="87"/>
      <c r="G9" s="326"/>
    </row>
    <row r="10" spans="1:7" ht="12.75">
      <c r="A10" s="451" t="s">
        <v>316</v>
      </c>
      <c r="B10" s="452"/>
      <c r="C10" s="452"/>
      <c r="D10" s="335">
        <f>D6/D8</f>
        <v>0.06</v>
      </c>
      <c r="E10" s="87"/>
      <c r="F10" s="87"/>
      <c r="G10" s="326"/>
    </row>
    <row r="11" spans="1:7" ht="12.75">
      <c r="A11" s="451" t="s">
        <v>317</v>
      </c>
      <c r="B11" s="452"/>
      <c r="C11" s="452"/>
      <c r="D11" s="149">
        <f>(PMT(D10,D9,D2))</f>
        <v>-291477.4072970059</v>
      </c>
      <c r="E11" s="327" t="s">
        <v>318</v>
      </c>
      <c r="F11" s="328"/>
      <c r="G11" s="336"/>
    </row>
    <row r="12" spans="1:7" ht="12.75" hidden="1">
      <c r="A12" s="451" t="s">
        <v>319</v>
      </c>
      <c r="B12" s="452"/>
      <c r="C12" s="452"/>
      <c r="D12" s="329">
        <v>0</v>
      </c>
      <c r="E12" s="87"/>
      <c r="F12" s="87"/>
      <c r="G12" s="326"/>
    </row>
    <row r="13" spans="1:7" ht="12.75">
      <c r="A13" s="456"/>
      <c r="B13" s="457"/>
      <c r="C13" s="457"/>
      <c r="D13" s="458"/>
      <c r="E13" s="87"/>
      <c r="F13" s="87"/>
      <c r="G13" s="326"/>
    </row>
    <row r="14" spans="1:7" ht="12.75" hidden="1">
      <c r="A14" s="22"/>
      <c r="B14" s="87"/>
      <c r="C14" s="87"/>
      <c r="D14" s="149">
        <f>D11-D12</f>
        <v>-291477.4072970059</v>
      </c>
      <c r="E14" s="87"/>
      <c r="F14" s="87"/>
      <c r="G14" s="326"/>
    </row>
    <row r="15" spans="1:7" ht="12.75" hidden="1">
      <c r="A15" s="22"/>
      <c r="B15" s="87"/>
      <c r="C15" s="87"/>
      <c r="D15" s="326"/>
      <c r="E15" s="87"/>
      <c r="F15" s="87"/>
      <c r="G15" s="326"/>
    </row>
    <row r="16" spans="1:11" ht="18">
      <c r="A16" s="453" t="s">
        <v>320</v>
      </c>
      <c r="B16" s="454"/>
      <c r="C16" s="454"/>
      <c r="D16" s="339">
        <f>(POWER((RATE(D9,D14,D5)+1),D8))-1</f>
        <v>0.07568764320239074</v>
      </c>
      <c r="E16" s="453" t="str">
        <f>E11</f>
        <v>(Beregning: se note til annuitetslån)</v>
      </c>
      <c r="F16" s="454"/>
      <c r="G16" s="455"/>
      <c r="H16" s="121"/>
      <c r="I16" s="121"/>
      <c r="J16" s="121"/>
      <c r="K16" s="121"/>
    </row>
    <row r="17" spans="1:11" ht="13.5" thickBot="1">
      <c r="A17" s="459"/>
      <c r="B17" s="460"/>
      <c r="C17" s="460"/>
      <c r="D17" s="461"/>
      <c r="E17" s="75"/>
      <c r="F17" s="75"/>
      <c r="G17" s="341"/>
      <c r="H17" s="121"/>
      <c r="I17" s="121"/>
      <c r="J17" s="121"/>
      <c r="K17" s="121"/>
    </row>
    <row r="18" spans="1:11" ht="13.5" thickBot="1">
      <c r="A18" s="122"/>
      <c r="B18" s="342"/>
      <c r="C18" s="342"/>
      <c r="D18" s="123"/>
      <c r="E18" s="123"/>
      <c r="F18" s="123"/>
      <c r="G18" s="343"/>
      <c r="H18" s="121"/>
      <c r="I18" s="121"/>
      <c r="J18" s="121"/>
      <c r="K18" s="121"/>
    </row>
    <row r="19" spans="1:11" ht="12.75">
      <c r="A19" s="17" t="str">
        <f>CONCATENATE("Amortisationstabel annuitetslån: (",D9," terminer)")</f>
        <v>Amortisationstabel annuitetslån: (4 terminer)</v>
      </c>
      <c r="B19" s="102"/>
      <c r="C19" s="102"/>
      <c r="D19" s="75"/>
      <c r="E19" s="75"/>
      <c r="F19" s="75"/>
      <c r="G19" s="341"/>
      <c r="H19" s="121"/>
      <c r="I19" s="121"/>
      <c r="J19" s="121"/>
      <c r="K19" s="121"/>
    </row>
    <row r="20" spans="1:8" ht="25.5">
      <c r="A20" s="22" t="s">
        <v>321</v>
      </c>
      <c r="B20" s="344" t="s">
        <v>322</v>
      </c>
      <c r="C20" s="344" t="s">
        <v>323</v>
      </c>
      <c r="D20" s="345" t="s">
        <v>324</v>
      </c>
      <c r="E20" s="344" t="s">
        <v>325</v>
      </c>
      <c r="F20" s="344" t="s">
        <v>298</v>
      </c>
      <c r="G20" s="346" t="s">
        <v>326</v>
      </c>
      <c r="H20" s="347"/>
    </row>
    <row r="21" spans="1:7" ht="12.75">
      <c r="A21" s="22">
        <v>1</v>
      </c>
      <c r="B21" s="148">
        <f>D2</f>
        <v>1010000</v>
      </c>
      <c r="C21" s="148">
        <f aca="true" t="shared" si="0" ref="C21:C84">IF(A21&lt;=$D$9,$D$14*-1,0)</f>
        <v>291477.4072970059</v>
      </c>
      <c r="D21" s="148">
        <f aca="true" t="shared" si="1" ref="D21:D84">IF(A21&gt;$D$9,0,$D$11*-1)</f>
        <v>291477.4072970059</v>
      </c>
      <c r="E21" s="348">
        <f aca="true" t="shared" si="2" ref="E21:E84">B21*$D$10</f>
        <v>60600</v>
      </c>
      <c r="F21" s="148">
        <f aca="true" t="shared" si="3" ref="F21:F84">D21-E21</f>
        <v>230877.40729700588</v>
      </c>
      <c r="G21" s="149">
        <f aca="true" t="shared" si="4" ref="G21:G84">B21-F21</f>
        <v>779122.5927029941</v>
      </c>
    </row>
    <row r="22" spans="1:7" ht="12.75">
      <c r="A22" s="22">
        <f aca="true" t="shared" si="5" ref="A22:A85">A21+1</f>
        <v>2</v>
      </c>
      <c r="B22" s="148">
        <f aca="true" t="shared" si="6" ref="B22:B85">IF(A22&lt;=$D$9,G21,0)</f>
        <v>779122.5927029941</v>
      </c>
      <c r="C22" s="148">
        <f t="shared" si="0"/>
        <v>291477.4072970059</v>
      </c>
      <c r="D22" s="148">
        <f t="shared" si="1"/>
        <v>291477.4072970059</v>
      </c>
      <c r="E22" s="348">
        <f t="shared" si="2"/>
        <v>46747.35556217965</v>
      </c>
      <c r="F22" s="148">
        <f t="shared" si="3"/>
        <v>244730.05173482624</v>
      </c>
      <c r="G22" s="149">
        <f t="shared" si="4"/>
        <v>534392.5409681678</v>
      </c>
    </row>
    <row r="23" spans="1:7" ht="12.75">
      <c r="A23" s="22">
        <f t="shared" si="5"/>
        <v>3</v>
      </c>
      <c r="B23" s="148">
        <f t="shared" si="6"/>
        <v>534392.5409681678</v>
      </c>
      <c r="C23" s="148">
        <f t="shared" si="0"/>
        <v>291477.4072970059</v>
      </c>
      <c r="D23" s="148">
        <f t="shared" si="1"/>
        <v>291477.4072970059</v>
      </c>
      <c r="E23" s="348">
        <f t="shared" si="2"/>
        <v>32063.552458090067</v>
      </c>
      <c r="F23" s="148">
        <f t="shared" si="3"/>
        <v>259413.8548389158</v>
      </c>
      <c r="G23" s="149">
        <f t="shared" si="4"/>
        <v>274978.686129252</v>
      </c>
    </row>
    <row r="24" spans="1:7" ht="12.75">
      <c r="A24" s="22">
        <f t="shared" si="5"/>
        <v>4</v>
      </c>
      <c r="B24" s="148">
        <f t="shared" si="6"/>
        <v>274978.686129252</v>
      </c>
      <c r="C24" s="148">
        <f t="shared" si="0"/>
        <v>291477.4072970059</v>
      </c>
      <c r="D24" s="148">
        <f t="shared" si="1"/>
        <v>291477.4072970059</v>
      </c>
      <c r="E24" s="348">
        <f t="shared" si="2"/>
        <v>16498.72116775512</v>
      </c>
      <c r="F24" s="148">
        <f t="shared" si="3"/>
        <v>274978.68612925074</v>
      </c>
      <c r="G24" s="149">
        <f t="shared" si="4"/>
        <v>1.280568540096283E-09</v>
      </c>
    </row>
    <row r="25" spans="1:7" ht="12.75">
      <c r="A25" s="22">
        <f t="shared" si="5"/>
        <v>5</v>
      </c>
      <c r="B25" s="148">
        <f t="shared" si="6"/>
        <v>0</v>
      </c>
      <c r="C25" s="148">
        <f t="shared" si="0"/>
        <v>0</v>
      </c>
      <c r="D25" s="148">
        <f t="shared" si="1"/>
        <v>0</v>
      </c>
      <c r="E25" s="348">
        <f t="shared" si="2"/>
        <v>0</v>
      </c>
      <c r="F25" s="148">
        <f t="shared" si="3"/>
        <v>0</v>
      </c>
      <c r="G25" s="149">
        <f t="shared" si="4"/>
        <v>0</v>
      </c>
    </row>
    <row r="26" spans="1:7" ht="12.75">
      <c r="A26" s="22">
        <f t="shared" si="5"/>
        <v>6</v>
      </c>
      <c r="B26" s="148">
        <f t="shared" si="6"/>
        <v>0</v>
      </c>
      <c r="C26" s="148">
        <f t="shared" si="0"/>
        <v>0</v>
      </c>
      <c r="D26" s="148">
        <f t="shared" si="1"/>
        <v>0</v>
      </c>
      <c r="E26" s="348">
        <f t="shared" si="2"/>
        <v>0</v>
      </c>
      <c r="F26" s="148">
        <f t="shared" si="3"/>
        <v>0</v>
      </c>
      <c r="G26" s="149">
        <f t="shared" si="4"/>
        <v>0</v>
      </c>
    </row>
    <row r="27" spans="1:7" ht="12.75">
      <c r="A27" s="22">
        <f t="shared" si="5"/>
        <v>7</v>
      </c>
      <c r="B27" s="148">
        <f t="shared" si="6"/>
        <v>0</v>
      </c>
      <c r="C27" s="148">
        <f t="shared" si="0"/>
        <v>0</v>
      </c>
      <c r="D27" s="148">
        <f t="shared" si="1"/>
        <v>0</v>
      </c>
      <c r="E27" s="348">
        <f t="shared" si="2"/>
        <v>0</v>
      </c>
      <c r="F27" s="148">
        <f t="shared" si="3"/>
        <v>0</v>
      </c>
      <c r="G27" s="149">
        <f t="shared" si="4"/>
        <v>0</v>
      </c>
    </row>
    <row r="28" spans="1:7" ht="12.75">
      <c r="A28" s="22">
        <f t="shared" si="5"/>
        <v>8</v>
      </c>
      <c r="B28" s="148">
        <f t="shared" si="6"/>
        <v>0</v>
      </c>
      <c r="C28" s="148">
        <f t="shared" si="0"/>
        <v>0</v>
      </c>
      <c r="D28" s="148">
        <f t="shared" si="1"/>
        <v>0</v>
      </c>
      <c r="E28" s="348">
        <f t="shared" si="2"/>
        <v>0</v>
      </c>
      <c r="F28" s="148">
        <f t="shared" si="3"/>
        <v>0</v>
      </c>
      <c r="G28" s="149">
        <f t="shared" si="4"/>
        <v>0</v>
      </c>
    </row>
    <row r="29" spans="1:7" ht="12.75">
      <c r="A29" s="22">
        <f t="shared" si="5"/>
        <v>9</v>
      </c>
      <c r="B29" s="148">
        <f t="shared" si="6"/>
        <v>0</v>
      </c>
      <c r="C29" s="148">
        <f t="shared" si="0"/>
        <v>0</v>
      </c>
      <c r="D29" s="148">
        <f t="shared" si="1"/>
        <v>0</v>
      </c>
      <c r="E29" s="348">
        <f t="shared" si="2"/>
        <v>0</v>
      </c>
      <c r="F29" s="148">
        <f t="shared" si="3"/>
        <v>0</v>
      </c>
      <c r="G29" s="149">
        <f t="shared" si="4"/>
        <v>0</v>
      </c>
    </row>
    <row r="30" spans="1:7" ht="12.75">
      <c r="A30" s="22">
        <f t="shared" si="5"/>
        <v>10</v>
      </c>
      <c r="B30" s="148">
        <f t="shared" si="6"/>
        <v>0</v>
      </c>
      <c r="C30" s="148">
        <f t="shared" si="0"/>
        <v>0</v>
      </c>
      <c r="D30" s="148">
        <f t="shared" si="1"/>
        <v>0</v>
      </c>
      <c r="E30" s="348">
        <f t="shared" si="2"/>
        <v>0</v>
      </c>
      <c r="F30" s="148">
        <f t="shared" si="3"/>
        <v>0</v>
      </c>
      <c r="G30" s="149">
        <f t="shared" si="4"/>
        <v>0</v>
      </c>
    </row>
    <row r="31" spans="1:7" ht="12.75">
      <c r="A31" s="22">
        <f t="shared" si="5"/>
        <v>11</v>
      </c>
      <c r="B31" s="148">
        <f t="shared" si="6"/>
        <v>0</v>
      </c>
      <c r="C31" s="148">
        <f t="shared" si="0"/>
        <v>0</v>
      </c>
      <c r="D31" s="148">
        <f t="shared" si="1"/>
        <v>0</v>
      </c>
      <c r="E31" s="348">
        <f t="shared" si="2"/>
        <v>0</v>
      </c>
      <c r="F31" s="148">
        <f t="shared" si="3"/>
        <v>0</v>
      </c>
      <c r="G31" s="149">
        <f t="shared" si="4"/>
        <v>0</v>
      </c>
    </row>
    <row r="32" spans="1:7" ht="12.75">
      <c r="A32" s="22">
        <f t="shared" si="5"/>
        <v>12</v>
      </c>
      <c r="B32" s="148">
        <f t="shared" si="6"/>
        <v>0</v>
      </c>
      <c r="C32" s="148">
        <f t="shared" si="0"/>
        <v>0</v>
      </c>
      <c r="D32" s="148">
        <f t="shared" si="1"/>
        <v>0</v>
      </c>
      <c r="E32" s="348">
        <f t="shared" si="2"/>
        <v>0</v>
      </c>
      <c r="F32" s="148">
        <f t="shared" si="3"/>
        <v>0</v>
      </c>
      <c r="G32" s="149">
        <f t="shared" si="4"/>
        <v>0</v>
      </c>
    </row>
    <row r="33" spans="1:7" ht="12.75">
      <c r="A33" s="22">
        <f t="shared" si="5"/>
        <v>13</v>
      </c>
      <c r="B33" s="148">
        <f t="shared" si="6"/>
        <v>0</v>
      </c>
      <c r="C33" s="148">
        <f t="shared" si="0"/>
        <v>0</v>
      </c>
      <c r="D33" s="148">
        <f t="shared" si="1"/>
        <v>0</v>
      </c>
      <c r="E33" s="348">
        <f t="shared" si="2"/>
        <v>0</v>
      </c>
      <c r="F33" s="148">
        <f t="shared" si="3"/>
        <v>0</v>
      </c>
      <c r="G33" s="149">
        <f t="shared" si="4"/>
        <v>0</v>
      </c>
    </row>
    <row r="34" spans="1:7" ht="12.75">
      <c r="A34" s="22">
        <f t="shared" si="5"/>
        <v>14</v>
      </c>
      <c r="B34" s="148">
        <f t="shared" si="6"/>
        <v>0</v>
      </c>
      <c r="C34" s="148">
        <f t="shared" si="0"/>
        <v>0</v>
      </c>
      <c r="D34" s="148">
        <f t="shared" si="1"/>
        <v>0</v>
      </c>
      <c r="E34" s="348">
        <f t="shared" si="2"/>
        <v>0</v>
      </c>
      <c r="F34" s="148">
        <f t="shared" si="3"/>
        <v>0</v>
      </c>
      <c r="G34" s="149">
        <f t="shared" si="4"/>
        <v>0</v>
      </c>
    </row>
    <row r="35" spans="1:7" ht="12.75">
      <c r="A35" s="22">
        <f t="shared" si="5"/>
        <v>15</v>
      </c>
      <c r="B35" s="148">
        <f t="shared" si="6"/>
        <v>0</v>
      </c>
      <c r="C35" s="148">
        <f t="shared" si="0"/>
        <v>0</v>
      </c>
      <c r="D35" s="148">
        <f t="shared" si="1"/>
        <v>0</v>
      </c>
      <c r="E35" s="348">
        <f t="shared" si="2"/>
        <v>0</v>
      </c>
      <c r="F35" s="148">
        <f t="shared" si="3"/>
        <v>0</v>
      </c>
      <c r="G35" s="149">
        <f t="shared" si="4"/>
        <v>0</v>
      </c>
    </row>
    <row r="36" spans="1:7" ht="12.75">
      <c r="A36" s="22">
        <f t="shared" si="5"/>
        <v>16</v>
      </c>
      <c r="B36" s="148">
        <f t="shared" si="6"/>
        <v>0</v>
      </c>
      <c r="C36" s="148">
        <f t="shared" si="0"/>
        <v>0</v>
      </c>
      <c r="D36" s="148">
        <f t="shared" si="1"/>
        <v>0</v>
      </c>
      <c r="E36" s="348">
        <f t="shared" si="2"/>
        <v>0</v>
      </c>
      <c r="F36" s="148">
        <f t="shared" si="3"/>
        <v>0</v>
      </c>
      <c r="G36" s="149">
        <f t="shared" si="4"/>
        <v>0</v>
      </c>
    </row>
    <row r="37" spans="1:7" ht="12.75">
      <c r="A37" s="22">
        <f t="shared" si="5"/>
        <v>17</v>
      </c>
      <c r="B37" s="148">
        <f t="shared" si="6"/>
        <v>0</v>
      </c>
      <c r="C37" s="148">
        <f t="shared" si="0"/>
        <v>0</v>
      </c>
      <c r="D37" s="148">
        <f t="shared" si="1"/>
        <v>0</v>
      </c>
      <c r="E37" s="348">
        <f t="shared" si="2"/>
        <v>0</v>
      </c>
      <c r="F37" s="148">
        <f t="shared" si="3"/>
        <v>0</v>
      </c>
      <c r="G37" s="149">
        <f t="shared" si="4"/>
        <v>0</v>
      </c>
    </row>
    <row r="38" spans="1:7" ht="12.75">
      <c r="A38" s="22">
        <f t="shared" si="5"/>
        <v>18</v>
      </c>
      <c r="B38" s="148">
        <f t="shared" si="6"/>
        <v>0</v>
      </c>
      <c r="C38" s="148">
        <f t="shared" si="0"/>
        <v>0</v>
      </c>
      <c r="D38" s="148">
        <f t="shared" si="1"/>
        <v>0</v>
      </c>
      <c r="E38" s="348">
        <f t="shared" si="2"/>
        <v>0</v>
      </c>
      <c r="F38" s="148">
        <f t="shared" si="3"/>
        <v>0</v>
      </c>
      <c r="G38" s="149">
        <f t="shared" si="4"/>
        <v>0</v>
      </c>
    </row>
    <row r="39" spans="1:7" ht="12.75">
      <c r="A39" s="22">
        <f t="shared" si="5"/>
        <v>19</v>
      </c>
      <c r="B39" s="148">
        <f t="shared" si="6"/>
        <v>0</v>
      </c>
      <c r="C39" s="148">
        <f t="shared" si="0"/>
        <v>0</v>
      </c>
      <c r="D39" s="148">
        <f t="shared" si="1"/>
        <v>0</v>
      </c>
      <c r="E39" s="348">
        <f t="shared" si="2"/>
        <v>0</v>
      </c>
      <c r="F39" s="148">
        <f t="shared" si="3"/>
        <v>0</v>
      </c>
      <c r="G39" s="149">
        <f t="shared" si="4"/>
        <v>0</v>
      </c>
    </row>
    <row r="40" spans="1:7" ht="12.75">
      <c r="A40" s="22">
        <f t="shared" si="5"/>
        <v>20</v>
      </c>
      <c r="B40" s="148">
        <f t="shared" si="6"/>
        <v>0</v>
      </c>
      <c r="C40" s="148">
        <f t="shared" si="0"/>
        <v>0</v>
      </c>
      <c r="D40" s="148">
        <f t="shared" si="1"/>
        <v>0</v>
      </c>
      <c r="E40" s="348">
        <f t="shared" si="2"/>
        <v>0</v>
      </c>
      <c r="F40" s="148">
        <f t="shared" si="3"/>
        <v>0</v>
      </c>
      <c r="G40" s="149">
        <f t="shared" si="4"/>
        <v>0</v>
      </c>
    </row>
    <row r="41" spans="1:7" ht="12.75">
      <c r="A41" s="22">
        <f t="shared" si="5"/>
        <v>21</v>
      </c>
      <c r="B41" s="148">
        <f t="shared" si="6"/>
        <v>0</v>
      </c>
      <c r="C41" s="148">
        <f t="shared" si="0"/>
        <v>0</v>
      </c>
      <c r="D41" s="148">
        <f t="shared" si="1"/>
        <v>0</v>
      </c>
      <c r="E41" s="348">
        <f t="shared" si="2"/>
        <v>0</v>
      </c>
      <c r="F41" s="148">
        <f t="shared" si="3"/>
        <v>0</v>
      </c>
      <c r="G41" s="149">
        <f t="shared" si="4"/>
        <v>0</v>
      </c>
    </row>
    <row r="42" spans="1:7" ht="12.75">
      <c r="A42" s="22">
        <f t="shared" si="5"/>
        <v>22</v>
      </c>
      <c r="B42" s="148">
        <f t="shared" si="6"/>
        <v>0</v>
      </c>
      <c r="C42" s="148">
        <f t="shared" si="0"/>
        <v>0</v>
      </c>
      <c r="D42" s="148">
        <f t="shared" si="1"/>
        <v>0</v>
      </c>
      <c r="E42" s="348">
        <f t="shared" si="2"/>
        <v>0</v>
      </c>
      <c r="F42" s="148">
        <f t="shared" si="3"/>
        <v>0</v>
      </c>
      <c r="G42" s="149">
        <f t="shared" si="4"/>
        <v>0</v>
      </c>
    </row>
    <row r="43" spans="1:7" ht="12.75">
      <c r="A43" s="22">
        <f t="shared" si="5"/>
        <v>23</v>
      </c>
      <c r="B43" s="148">
        <f t="shared" si="6"/>
        <v>0</v>
      </c>
      <c r="C43" s="148">
        <f t="shared" si="0"/>
        <v>0</v>
      </c>
      <c r="D43" s="148">
        <f t="shared" si="1"/>
        <v>0</v>
      </c>
      <c r="E43" s="348">
        <f t="shared" si="2"/>
        <v>0</v>
      </c>
      <c r="F43" s="148">
        <f t="shared" si="3"/>
        <v>0</v>
      </c>
      <c r="G43" s="149">
        <f t="shared" si="4"/>
        <v>0</v>
      </c>
    </row>
    <row r="44" spans="1:7" ht="12.75">
      <c r="A44" s="22">
        <f t="shared" si="5"/>
        <v>24</v>
      </c>
      <c r="B44" s="148">
        <f t="shared" si="6"/>
        <v>0</v>
      </c>
      <c r="C44" s="148">
        <f t="shared" si="0"/>
        <v>0</v>
      </c>
      <c r="D44" s="148">
        <f t="shared" si="1"/>
        <v>0</v>
      </c>
      <c r="E44" s="348">
        <f t="shared" si="2"/>
        <v>0</v>
      </c>
      <c r="F44" s="148">
        <f t="shared" si="3"/>
        <v>0</v>
      </c>
      <c r="G44" s="149">
        <f t="shared" si="4"/>
        <v>0</v>
      </c>
    </row>
    <row r="45" spans="1:7" ht="12.75">
      <c r="A45" s="22">
        <f t="shared" si="5"/>
        <v>25</v>
      </c>
      <c r="B45" s="148">
        <f t="shared" si="6"/>
        <v>0</v>
      </c>
      <c r="C45" s="148">
        <f t="shared" si="0"/>
        <v>0</v>
      </c>
      <c r="D45" s="148">
        <f t="shared" si="1"/>
        <v>0</v>
      </c>
      <c r="E45" s="348">
        <f t="shared" si="2"/>
        <v>0</v>
      </c>
      <c r="F45" s="148">
        <f t="shared" si="3"/>
        <v>0</v>
      </c>
      <c r="G45" s="149">
        <f t="shared" si="4"/>
        <v>0</v>
      </c>
    </row>
    <row r="46" spans="1:7" ht="12.75">
      <c r="A46" s="22">
        <f t="shared" si="5"/>
        <v>26</v>
      </c>
      <c r="B46" s="148">
        <f t="shared" si="6"/>
        <v>0</v>
      </c>
      <c r="C46" s="148">
        <f t="shared" si="0"/>
        <v>0</v>
      </c>
      <c r="D46" s="148">
        <f t="shared" si="1"/>
        <v>0</v>
      </c>
      <c r="E46" s="348">
        <f t="shared" si="2"/>
        <v>0</v>
      </c>
      <c r="F46" s="148">
        <f t="shared" si="3"/>
        <v>0</v>
      </c>
      <c r="G46" s="149">
        <f t="shared" si="4"/>
        <v>0</v>
      </c>
    </row>
    <row r="47" spans="1:7" ht="12.75">
      <c r="A47" s="22">
        <f t="shared" si="5"/>
        <v>27</v>
      </c>
      <c r="B47" s="148">
        <f t="shared" si="6"/>
        <v>0</v>
      </c>
      <c r="C47" s="148">
        <f t="shared" si="0"/>
        <v>0</v>
      </c>
      <c r="D47" s="148">
        <f t="shared" si="1"/>
        <v>0</v>
      </c>
      <c r="E47" s="348">
        <f t="shared" si="2"/>
        <v>0</v>
      </c>
      <c r="F47" s="148">
        <f t="shared" si="3"/>
        <v>0</v>
      </c>
      <c r="G47" s="149">
        <f t="shared" si="4"/>
        <v>0</v>
      </c>
    </row>
    <row r="48" spans="1:7" ht="12.75">
      <c r="A48" s="22">
        <f t="shared" si="5"/>
        <v>28</v>
      </c>
      <c r="B48" s="148">
        <f t="shared" si="6"/>
        <v>0</v>
      </c>
      <c r="C48" s="148">
        <f t="shared" si="0"/>
        <v>0</v>
      </c>
      <c r="D48" s="148">
        <f t="shared" si="1"/>
        <v>0</v>
      </c>
      <c r="E48" s="348">
        <f t="shared" si="2"/>
        <v>0</v>
      </c>
      <c r="F48" s="148">
        <f t="shared" si="3"/>
        <v>0</v>
      </c>
      <c r="G48" s="149">
        <f t="shared" si="4"/>
        <v>0</v>
      </c>
    </row>
    <row r="49" spans="1:7" ht="12.75">
      <c r="A49" s="22">
        <f t="shared" si="5"/>
        <v>29</v>
      </c>
      <c r="B49" s="148">
        <f t="shared" si="6"/>
        <v>0</v>
      </c>
      <c r="C49" s="148">
        <f t="shared" si="0"/>
        <v>0</v>
      </c>
      <c r="D49" s="148">
        <f t="shared" si="1"/>
        <v>0</v>
      </c>
      <c r="E49" s="348">
        <f t="shared" si="2"/>
        <v>0</v>
      </c>
      <c r="F49" s="148">
        <f t="shared" si="3"/>
        <v>0</v>
      </c>
      <c r="G49" s="149">
        <f t="shared" si="4"/>
        <v>0</v>
      </c>
    </row>
    <row r="50" spans="1:7" ht="12.75">
      <c r="A50" s="22">
        <f t="shared" si="5"/>
        <v>30</v>
      </c>
      <c r="B50" s="148">
        <f t="shared" si="6"/>
        <v>0</v>
      </c>
      <c r="C50" s="148">
        <f t="shared" si="0"/>
        <v>0</v>
      </c>
      <c r="D50" s="148">
        <f t="shared" si="1"/>
        <v>0</v>
      </c>
      <c r="E50" s="348">
        <f t="shared" si="2"/>
        <v>0</v>
      </c>
      <c r="F50" s="148">
        <f t="shared" si="3"/>
        <v>0</v>
      </c>
      <c r="G50" s="149">
        <f t="shared" si="4"/>
        <v>0</v>
      </c>
    </row>
    <row r="51" spans="1:7" ht="12.75">
      <c r="A51" s="22">
        <f t="shared" si="5"/>
        <v>31</v>
      </c>
      <c r="B51" s="148">
        <f t="shared" si="6"/>
        <v>0</v>
      </c>
      <c r="C51" s="148">
        <f t="shared" si="0"/>
        <v>0</v>
      </c>
      <c r="D51" s="148">
        <f t="shared" si="1"/>
        <v>0</v>
      </c>
      <c r="E51" s="348">
        <f t="shared" si="2"/>
        <v>0</v>
      </c>
      <c r="F51" s="148">
        <f t="shared" si="3"/>
        <v>0</v>
      </c>
      <c r="G51" s="149">
        <f t="shared" si="4"/>
        <v>0</v>
      </c>
    </row>
    <row r="52" spans="1:7" ht="12.75">
      <c r="A52" s="22">
        <f t="shared" si="5"/>
        <v>32</v>
      </c>
      <c r="B52" s="148">
        <f t="shared" si="6"/>
        <v>0</v>
      </c>
      <c r="C52" s="148">
        <f t="shared" si="0"/>
        <v>0</v>
      </c>
      <c r="D52" s="148">
        <f t="shared" si="1"/>
        <v>0</v>
      </c>
      <c r="E52" s="348">
        <f t="shared" si="2"/>
        <v>0</v>
      </c>
      <c r="F52" s="148">
        <f t="shared" si="3"/>
        <v>0</v>
      </c>
      <c r="G52" s="149">
        <f t="shared" si="4"/>
        <v>0</v>
      </c>
    </row>
    <row r="53" spans="1:7" ht="12.75">
      <c r="A53" s="22">
        <f t="shared" si="5"/>
        <v>33</v>
      </c>
      <c r="B53" s="148">
        <f t="shared" si="6"/>
        <v>0</v>
      </c>
      <c r="C53" s="148">
        <f t="shared" si="0"/>
        <v>0</v>
      </c>
      <c r="D53" s="148">
        <f t="shared" si="1"/>
        <v>0</v>
      </c>
      <c r="E53" s="348">
        <f t="shared" si="2"/>
        <v>0</v>
      </c>
      <c r="F53" s="148">
        <f t="shared" si="3"/>
        <v>0</v>
      </c>
      <c r="G53" s="149">
        <f t="shared" si="4"/>
        <v>0</v>
      </c>
    </row>
    <row r="54" spans="1:7" ht="12.75">
      <c r="A54" s="22">
        <f t="shared" si="5"/>
        <v>34</v>
      </c>
      <c r="B54" s="148">
        <f t="shared" si="6"/>
        <v>0</v>
      </c>
      <c r="C54" s="148">
        <f t="shared" si="0"/>
        <v>0</v>
      </c>
      <c r="D54" s="148">
        <f t="shared" si="1"/>
        <v>0</v>
      </c>
      <c r="E54" s="348">
        <f t="shared" si="2"/>
        <v>0</v>
      </c>
      <c r="F54" s="148">
        <f t="shared" si="3"/>
        <v>0</v>
      </c>
      <c r="G54" s="149">
        <f t="shared" si="4"/>
        <v>0</v>
      </c>
    </row>
    <row r="55" spans="1:7" ht="12.75">
      <c r="A55" s="22">
        <f t="shared" si="5"/>
        <v>35</v>
      </c>
      <c r="B55" s="148">
        <f t="shared" si="6"/>
        <v>0</v>
      </c>
      <c r="C55" s="148">
        <f t="shared" si="0"/>
        <v>0</v>
      </c>
      <c r="D55" s="148">
        <f t="shared" si="1"/>
        <v>0</v>
      </c>
      <c r="E55" s="348">
        <f t="shared" si="2"/>
        <v>0</v>
      </c>
      <c r="F55" s="148">
        <f t="shared" si="3"/>
        <v>0</v>
      </c>
      <c r="G55" s="149">
        <f t="shared" si="4"/>
        <v>0</v>
      </c>
    </row>
    <row r="56" spans="1:7" ht="12.75">
      <c r="A56" s="22">
        <f t="shared" si="5"/>
        <v>36</v>
      </c>
      <c r="B56" s="148">
        <f t="shared" si="6"/>
        <v>0</v>
      </c>
      <c r="C56" s="148">
        <f t="shared" si="0"/>
        <v>0</v>
      </c>
      <c r="D56" s="148">
        <f t="shared" si="1"/>
        <v>0</v>
      </c>
      <c r="E56" s="348">
        <f t="shared" si="2"/>
        <v>0</v>
      </c>
      <c r="F56" s="148">
        <f t="shared" si="3"/>
        <v>0</v>
      </c>
      <c r="G56" s="149">
        <f t="shared" si="4"/>
        <v>0</v>
      </c>
    </row>
    <row r="57" spans="1:7" ht="12.75">
      <c r="A57" s="22">
        <f t="shared" si="5"/>
        <v>37</v>
      </c>
      <c r="B57" s="148">
        <f t="shared" si="6"/>
        <v>0</v>
      </c>
      <c r="C57" s="148">
        <f t="shared" si="0"/>
        <v>0</v>
      </c>
      <c r="D57" s="148">
        <f t="shared" si="1"/>
        <v>0</v>
      </c>
      <c r="E57" s="348">
        <f t="shared" si="2"/>
        <v>0</v>
      </c>
      <c r="F57" s="148">
        <f t="shared" si="3"/>
        <v>0</v>
      </c>
      <c r="G57" s="149">
        <f t="shared" si="4"/>
        <v>0</v>
      </c>
    </row>
    <row r="58" spans="1:7" ht="12.75">
      <c r="A58" s="22">
        <f t="shared" si="5"/>
        <v>38</v>
      </c>
      <c r="B58" s="148">
        <f t="shared" si="6"/>
        <v>0</v>
      </c>
      <c r="C58" s="148">
        <f t="shared" si="0"/>
        <v>0</v>
      </c>
      <c r="D58" s="148">
        <f t="shared" si="1"/>
        <v>0</v>
      </c>
      <c r="E58" s="348">
        <f t="shared" si="2"/>
        <v>0</v>
      </c>
      <c r="F58" s="148">
        <f t="shared" si="3"/>
        <v>0</v>
      </c>
      <c r="G58" s="149">
        <f t="shared" si="4"/>
        <v>0</v>
      </c>
    </row>
    <row r="59" spans="1:7" ht="12.75">
      <c r="A59" s="22">
        <f t="shared" si="5"/>
        <v>39</v>
      </c>
      <c r="B59" s="148">
        <f t="shared" si="6"/>
        <v>0</v>
      </c>
      <c r="C59" s="148">
        <f t="shared" si="0"/>
        <v>0</v>
      </c>
      <c r="D59" s="148">
        <f t="shared" si="1"/>
        <v>0</v>
      </c>
      <c r="E59" s="348">
        <f t="shared" si="2"/>
        <v>0</v>
      </c>
      <c r="F59" s="148">
        <f t="shared" si="3"/>
        <v>0</v>
      </c>
      <c r="G59" s="149">
        <f t="shared" si="4"/>
        <v>0</v>
      </c>
    </row>
    <row r="60" spans="1:7" ht="13.5" thickBot="1">
      <c r="A60" s="22">
        <f t="shared" si="5"/>
        <v>40</v>
      </c>
      <c r="B60" s="148">
        <f t="shared" si="6"/>
        <v>0</v>
      </c>
      <c r="C60" s="148">
        <f t="shared" si="0"/>
        <v>0</v>
      </c>
      <c r="D60" s="148">
        <f t="shared" si="1"/>
        <v>0</v>
      </c>
      <c r="E60" s="348">
        <f t="shared" si="2"/>
        <v>0</v>
      </c>
      <c r="F60" s="148">
        <f t="shared" si="3"/>
        <v>0</v>
      </c>
      <c r="G60" s="149">
        <f t="shared" si="4"/>
        <v>0</v>
      </c>
    </row>
    <row r="61" spans="1:7" ht="12.75" hidden="1">
      <c r="A61" s="22">
        <f t="shared" si="5"/>
        <v>41</v>
      </c>
      <c r="B61" s="148">
        <f t="shared" si="6"/>
        <v>0</v>
      </c>
      <c r="C61" s="148">
        <f t="shared" si="0"/>
        <v>0</v>
      </c>
      <c r="D61" s="148">
        <f t="shared" si="1"/>
        <v>0</v>
      </c>
      <c r="E61" s="348">
        <f t="shared" si="2"/>
        <v>0</v>
      </c>
      <c r="F61" s="148">
        <f t="shared" si="3"/>
        <v>0</v>
      </c>
      <c r="G61" s="149">
        <f t="shared" si="4"/>
        <v>0</v>
      </c>
    </row>
    <row r="62" spans="1:7" ht="12.75" hidden="1">
      <c r="A62" s="22">
        <f t="shared" si="5"/>
        <v>42</v>
      </c>
      <c r="B62" s="148">
        <f t="shared" si="6"/>
        <v>0</v>
      </c>
      <c r="C62" s="148">
        <f t="shared" si="0"/>
        <v>0</v>
      </c>
      <c r="D62" s="148">
        <f t="shared" si="1"/>
        <v>0</v>
      </c>
      <c r="E62" s="348">
        <f t="shared" si="2"/>
        <v>0</v>
      </c>
      <c r="F62" s="148">
        <f t="shared" si="3"/>
        <v>0</v>
      </c>
      <c r="G62" s="149">
        <f t="shared" si="4"/>
        <v>0</v>
      </c>
    </row>
    <row r="63" spans="1:7" ht="12.75" hidden="1">
      <c r="A63" s="22">
        <f t="shared" si="5"/>
        <v>43</v>
      </c>
      <c r="B63" s="148">
        <f t="shared" si="6"/>
        <v>0</v>
      </c>
      <c r="C63" s="148">
        <f t="shared" si="0"/>
        <v>0</v>
      </c>
      <c r="D63" s="148">
        <f t="shared" si="1"/>
        <v>0</v>
      </c>
      <c r="E63" s="348">
        <f t="shared" si="2"/>
        <v>0</v>
      </c>
      <c r="F63" s="148">
        <f t="shared" si="3"/>
        <v>0</v>
      </c>
      <c r="G63" s="149">
        <f t="shared" si="4"/>
        <v>0</v>
      </c>
    </row>
    <row r="64" spans="1:7" ht="12.75" hidden="1">
      <c r="A64" s="22">
        <f t="shared" si="5"/>
        <v>44</v>
      </c>
      <c r="B64" s="148">
        <f t="shared" si="6"/>
        <v>0</v>
      </c>
      <c r="C64" s="148">
        <f t="shared" si="0"/>
        <v>0</v>
      </c>
      <c r="D64" s="148">
        <f t="shared" si="1"/>
        <v>0</v>
      </c>
      <c r="E64" s="348">
        <f t="shared" si="2"/>
        <v>0</v>
      </c>
      <c r="F64" s="148">
        <f t="shared" si="3"/>
        <v>0</v>
      </c>
      <c r="G64" s="149">
        <f t="shared" si="4"/>
        <v>0</v>
      </c>
    </row>
    <row r="65" spans="1:7" ht="12.75" hidden="1">
      <c r="A65" s="22">
        <f t="shared" si="5"/>
        <v>45</v>
      </c>
      <c r="B65" s="148">
        <f t="shared" si="6"/>
        <v>0</v>
      </c>
      <c r="C65" s="148">
        <f t="shared" si="0"/>
        <v>0</v>
      </c>
      <c r="D65" s="148">
        <f t="shared" si="1"/>
        <v>0</v>
      </c>
      <c r="E65" s="348">
        <f t="shared" si="2"/>
        <v>0</v>
      </c>
      <c r="F65" s="148">
        <f t="shared" si="3"/>
        <v>0</v>
      </c>
      <c r="G65" s="149">
        <f t="shared" si="4"/>
        <v>0</v>
      </c>
    </row>
    <row r="66" spans="1:7" ht="12.75" hidden="1">
      <c r="A66" s="22">
        <f t="shared" si="5"/>
        <v>46</v>
      </c>
      <c r="B66" s="148">
        <f t="shared" si="6"/>
        <v>0</v>
      </c>
      <c r="C66" s="148">
        <f t="shared" si="0"/>
        <v>0</v>
      </c>
      <c r="D66" s="148">
        <f t="shared" si="1"/>
        <v>0</v>
      </c>
      <c r="E66" s="348">
        <f t="shared" si="2"/>
        <v>0</v>
      </c>
      <c r="F66" s="148">
        <f t="shared" si="3"/>
        <v>0</v>
      </c>
      <c r="G66" s="149">
        <f t="shared" si="4"/>
        <v>0</v>
      </c>
    </row>
    <row r="67" spans="1:7" ht="12.75" hidden="1">
      <c r="A67" s="22">
        <f t="shared" si="5"/>
        <v>47</v>
      </c>
      <c r="B67" s="148">
        <f t="shared" si="6"/>
        <v>0</v>
      </c>
      <c r="C67" s="148">
        <f t="shared" si="0"/>
        <v>0</v>
      </c>
      <c r="D67" s="148">
        <f t="shared" si="1"/>
        <v>0</v>
      </c>
      <c r="E67" s="348">
        <f t="shared" si="2"/>
        <v>0</v>
      </c>
      <c r="F67" s="148">
        <f t="shared" si="3"/>
        <v>0</v>
      </c>
      <c r="G67" s="149">
        <f t="shared" si="4"/>
        <v>0</v>
      </c>
    </row>
    <row r="68" spans="1:7" ht="12.75" hidden="1">
      <c r="A68" s="22">
        <f t="shared" si="5"/>
        <v>48</v>
      </c>
      <c r="B68" s="148">
        <f t="shared" si="6"/>
        <v>0</v>
      </c>
      <c r="C68" s="148">
        <f t="shared" si="0"/>
        <v>0</v>
      </c>
      <c r="D68" s="148">
        <f t="shared" si="1"/>
        <v>0</v>
      </c>
      <c r="E68" s="348">
        <f t="shared" si="2"/>
        <v>0</v>
      </c>
      <c r="F68" s="148">
        <f t="shared" si="3"/>
        <v>0</v>
      </c>
      <c r="G68" s="149">
        <f t="shared" si="4"/>
        <v>0</v>
      </c>
    </row>
    <row r="69" spans="1:7" ht="12.75" hidden="1">
      <c r="A69" s="22">
        <f t="shared" si="5"/>
        <v>49</v>
      </c>
      <c r="B69" s="148">
        <f t="shared" si="6"/>
        <v>0</v>
      </c>
      <c r="C69" s="148">
        <f t="shared" si="0"/>
        <v>0</v>
      </c>
      <c r="D69" s="148">
        <f t="shared" si="1"/>
        <v>0</v>
      </c>
      <c r="E69" s="348">
        <f t="shared" si="2"/>
        <v>0</v>
      </c>
      <c r="F69" s="148">
        <f t="shared" si="3"/>
        <v>0</v>
      </c>
      <c r="G69" s="149">
        <f t="shared" si="4"/>
        <v>0</v>
      </c>
    </row>
    <row r="70" spans="1:7" ht="12.75" hidden="1">
      <c r="A70" s="22">
        <f t="shared" si="5"/>
        <v>50</v>
      </c>
      <c r="B70" s="148">
        <f t="shared" si="6"/>
        <v>0</v>
      </c>
      <c r="C70" s="148">
        <f t="shared" si="0"/>
        <v>0</v>
      </c>
      <c r="D70" s="148">
        <f t="shared" si="1"/>
        <v>0</v>
      </c>
      <c r="E70" s="348">
        <f t="shared" si="2"/>
        <v>0</v>
      </c>
      <c r="F70" s="148">
        <f t="shared" si="3"/>
        <v>0</v>
      </c>
      <c r="G70" s="149">
        <f t="shared" si="4"/>
        <v>0</v>
      </c>
    </row>
    <row r="71" spans="1:7" ht="12.75" hidden="1">
      <c r="A71" s="22">
        <f t="shared" si="5"/>
        <v>51</v>
      </c>
      <c r="B71" s="148">
        <f t="shared" si="6"/>
        <v>0</v>
      </c>
      <c r="C71" s="148">
        <f t="shared" si="0"/>
        <v>0</v>
      </c>
      <c r="D71" s="148">
        <f t="shared" si="1"/>
        <v>0</v>
      </c>
      <c r="E71" s="348">
        <f t="shared" si="2"/>
        <v>0</v>
      </c>
      <c r="F71" s="148">
        <f t="shared" si="3"/>
        <v>0</v>
      </c>
      <c r="G71" s="149">
        <f t="shared" si="4"/>
        <v>0</v>
      </c>
    </row>
    <row r="72" spans="1:7" ht="12.75" hidden="1">
      <c r="A72" s="22">
        <f t="shared" si="5"/>
        <v>52</v>
      </c>
      <c r="B72" s="148">
        <f t="shared" si="6"/>
        <v>0</v>
      </c>
      <c r="C72" s="148">
        <f t="shared" si="0"/>
        <v>0</v>
      </c>
      <c r="D72" s="148">
        <f t="shared" si="1"/>
        <v>0</v>
      </c>
      <c r="E72" s="348">
        <f t="shared" si="2"/>
        <v>0</v>
      </c>
      <c r="F72" s="148">
        <f t="shared" si="3"/>
        <v>0</v>
      </c>
      <c r="G72" s="149">
        <f t="shared" si="4"/>
        <v>0</v>
      </c>
    </row>
    <row r="73" spans="1:7" ht="12.75" hidden="1">
      <c r="A73" s="22">
        <f t="shared" si="5"/>
        <v>53</v>
      </c>
      <c r="B73" s="148">
        <f t="shared" si="6"/>
        <v>0</v>
      </c>
      <c r="C73" s="148">
        <f t="shared" si="0"/>
        <v>0</v>
      </c>
      <c r="D73" s="148">
        <f t="shared" si="1"/>
        <v>0</v>
      </c>
      <c r="E73" s="348">
        <f t="shared" si="2"/>
        <v>0</v>
      </c>
      <c r="F73" s="148">
        <f t="shared" si="3"/>
        <v>0</v>
      </c>
      <c r="G73" s="149">
        <f t="shared" si="4"/>
        <v>0</v>
      </c>
    </row>
    <row r="74" spans="1:7" ht="12.75" hidden="1">
      <c r="A74" s="22">
        <f t="shared" si="5"/>
        <v>54</v>
      </c>
      <c r="B74" s="148">
        <f t="shared" si="6"/>
        <v>0</v>
      </c>
      <c r="C74" s="148">
        <f t="shared" si="0"/>
        <v>0</v>
      </c>
      <c r="D74" s="148">
        <f t="shared" si="1"/>
        <v>0</v>
      </c>
      <c r="E74" s="348">
        <f t="shared" si="2"/>
        <v>0</v>
      </c>
      <c r="F74" s="148">
        <f t="shared" si="3"/>
        <v>0</v>
      </c>
      <c r="G74" s="149">
        <f t="shared" si="4"/>
        <v>0</v>
      </c>
    </row>
    <row r="75" spans="1:7" ht="12.75" hidden="1">
      <c r="A75" s="22">
        <f t="shared" si="5"/>
        <v>55</v>
      </c>
      <c r="B75" s="148">
        <f t="shared" si="6"/>
        <v>0</v>
      </c>
      <c r="C75" s="148">
        <f t="shared" si="0"/>
        <v>0</v>
      </c>
      <c r="D75" s="148">
        <f t="shared" si="1"/>
        <v>0</v>
      </c>
      <c r="E75" s="348">
        <f t="shared" si="2"/>
        <v>0</v>
      </c>
      <c r="F75" s="148">
        <f t="shared" si="3"/>
        <v>0</v>
      </c>
      <c r="G75" s="149">
        <f t="shared" si="4"/>
        <v>0</v>
      </c>
    </row>
    <row r="76" spans="1:7" ht="12.75" hidden="1">
      <c r="A76" s="22">
        <f t="shared" si="5"/>
        <v>56</v>
      </c>
      <c r="B76" s="148">
        <f t="shared" si="6"/>
        <v>0</v>
      </c>
      <c r="C76" s="148">
        <f t="shared" si="0"/>
        <v>0</v>
      </c>
      <c r="D76" s="148">
        <f t="shared" si="1"/>
        <v>0</v>
      </c>
      <c r="E76" s="348">
        <f t="shared" si="2"/>
        <v>0</v>
      </c>
      <c r="F76" s="148">
        <f t="shared" si="3"/>
        <v>0</v>
      </c>
      <c r="G76" s="149">
        <f t="shared" si="4"/>
        <v>0</v>
      </c>
    </row>
    <row r="77" spans="1:7" ht="12.75" hidden="1">
      <c r="A77" s="22">
        <f t="shared" si="5"/>
        <v>57</v>
      </c>
      <c r="B77" s="148">
        <f t="shared" si="6"/>
        <v>0</v>
      </c>
      <c r="C77" s="148">
        <f t="shared" si="0"/>
        <v>0</v>
      </c>
      <c r="D77" s="148">
        <f t="shared" si="1"/>
        <v>0</v>
      </c>
      <c r="E77" s="348">
        <f t="shared" si="2"/>
        <v>0</v>
      </c>
      <c r="F77" s="148">
        <f t="shared" si="3"/>
        <v>0</v>
      </c>
      <c r="G77" s="149">
        <f t="shared" si="4"/>
        <v>0</v>
      </c>
    </row>
    <row r="78" spans="1:7" ht="12.75" hidden="1">
      <c r="A78" s="22">
        <f t="shared" si="5"/>
        <v>58</v>
      </c>
      <c r="B78" s="148">
        <f t="shared" si="6"/>
        <v>0</v>
      </c>
      <c r="C78" s="148">
        <f t="shared" si="0"/>
        <v>0</v>
      </c>
      <c r="D78" s="148">
        <f t="shared" si="1"/>
        <v>0</v>
      </c>
      <c r="E78" s="348">
        <f t="shared" si="2"/>
        <v>0</v>
      </c>
      <c r="F78" s="148">
        <f t="shared" si="3"/>
        <v>0</v>
      </c>
      <c r="G78" s="149">
        <f t="shared" si="4"/>
        <v>0</v>
      </c>
    </row>
    <row r="79" spans="1:7" ht="12.75" hidden="1">
      <c r="A79" s="22">
        <f t="shared" si="5"/>
        <v>59</v>
      </c>
      <c r="B79" s="148">
        <f t="shared" si="6"/>
        <v>0</v>
      </c>
      <c r="C79" s="148">
        <f t="shared" si="0"/>
        <v>0</v>
      </c>
      <c r="D79" s="148">
        <f t="shared" si="1"/>
        <v>0</v>
      </c>
      <c r="E79" s="348">
        <f t="shared" si="2"/>
        <v>0</v>
      </c>
      <c r="F79" s="148">
        <f t="shared" si="3"/>
        <v>0</v>
      </c>
      <c r="G79" s="149">
        <f t="shared" si="4"/>
        <v>0</v>
      </c>
    </row>
    <row r="80" spans="1:7" ht="12.75" hidden="1">
      <c r="A80" s="22">
        <f t="shared" si="5"/>
        <v>60</v>
      </c>
      <c r="B80" s="148">
        <f t="shared" si="6"/>
        <v>0</v>
      </c>
      <c r="C80" s="148">
        <f t="shared" si="0"/>
        <v>0</v>
      </c>
      <c r="D80" s="148">
        <f t="shared" si="1"/>
        <v>0</v>
      </c>
      <c r="E80" s="348">
        <f t="shared" si="2"/>
        <v>0</v>
      </c>
      <c r="F80" s="148">
        <f t="shared" si="3"/>
        <v>0</v>
      </c>
      <c r="G80" s="149">
        <f t="shared" si="4"/>
        <v>0</v>
      </c>
    </row>
    <row r="81" spans="1:7" ht="12.75" hidden="1">
      <c r="A81" s="22">
        <f t="shared" si="5"/>
        <v>61</v>
      </c>
      <c r="B81" s="148">
        <f t="shared" si="6"/>
        <v>0</v>
      </c>
      <c r="C81" s="148">
        <f t="shared" si="0"/>
        <v>0</v>
      </c>
      <c r="D81" s="148">
        <f t="shared" si="1"/>
        <v>0</v>
      </c>
      <c r="E81" s="348">
        <f t="shared" si="2"/>
        <v>0</v>
      </c>
      <c r="F81" s="148">
        <f t="shared" si="3"/>
        <v>0</v>
      </c>
      <c r="G81" s="149">
        <f t="shared" si="4"/>
        <v>0</v>
      </c>
    </row>
    <row r="82" spans="1:7" ht="12.75" hidden="1">
      <c r="A82" s="22">
        <f t="shared" si="5"/>
        <v>62</v>
      </c>
      <c r="B82" s="148">
        <f t="shared" si="6"/>
        <v>0</v>
      </c>
      <c r="C82" s="148">
        <f t="shared" si="0"/>
        <v>0</v>
      </c>
      <c r="D82" s="148">
        <f t="shared" si="1"/>
        <v>0</v>
      </c>
      <c r="E82" s="348">
        <f t="shared" si="2"/>
        <v>0</v>
      </c>
      <c r="F82" s="148">
        <f t="shared" si="3"/>
        <v>0</v>
      </c>
      <c r="G82" s="149">
        <f t="shared" si="4"/>
        <v>0</v>
      </c>
    </row>
    <row r="83" spans="1:7" ht="12.75" hidden="1">
      <c r="A83" s="22">
        <f t="shared" si="5"/>
        <v>63</v>
      </c>
      <c r="B83" s="148">
        <f t="shared" si="6"/>
        <v>0</v>
      </c>
      <c r="C83" s="148">
        <f t="shared" si="0"/>
        <v>0</v>
      </c>
      <c r="D83" s="148">
        <f t="shared" si="1"/>
        <v>0</v>
      </c>
      <c r="E83" s="348">
        <f t="shared" si="2"/>
        <v>0</v>
      </c>
      <c r="F83" s="148">
        <f t="shared" si="3"/>
        <v>0</v>
      </c>
      <c r="G83" s="149">
        <f t="shared" si="4"/>
        <v>0</v>
      </c>
    </row>
    <row r="84" spans="1:7" ht="12.75" hidden="1">
      <c r="A84" s="22">
        <f t="shared" si="5"/>
        <v>64</v>
      </c>
      <c r="B84" s="148">
        <f t="shared" si="6"/>
        <v>0</v>
      </c>
      <c r="C84" s="148">
        <f t="shared" si="0"/>
        <v>0</v>
      </c>
      <c r="D84" s="148">
        <f t="shared" si="1"/>
        <v>0</v>
      </c>
      <c r="E84" s="348">
        <f t="shared" si="2"/>
        <v>0</v>
      </c>
      <c r="F84" s="148">
        <f t="shared" si="3"/>
        <v>0</v>
      </c>
      <c r="G84" s="149">
        <f t="shared" si="4"/>
        <v>0</v>
      </c>
    </row>
    <row r="85" spans="1:7" ht="12.75" hidden="1">
      <c r="A85" s="22">
        <f t="shared" si="5"/>
        <v>65</v>
      </c>
      <c r="B85" s="148">
        <f t="shared" si="6"/>
        <v>0</v>
      </c>
      <c r="C85" s="148">
        <f aca="true" t="shared" si="7" ref="C85:C148">IF(A85&lt;=$D$9,$D$14*-1,0)</f>
        <v>0</v>
      </c>
      <c r="D85" s="148">
        <f aca="true" t="shared" si="8" ref="D85:D148">IF(A85&gt;$D$9,0,$D$11*-1)</f>
        <v>0</v>
      </c>
      <c r="E85" s="348">
        <f aca="true" t="shared" si="9" ref="E85:E148">B85*$D$10</f>
        <v>0</v>
      </c>
      <c r="F85" s="148">
        <f aca="true" t="shared" si="10" ref="F85:F148">D85-E85</f>
        <v>0</v>
      </c>
      <c r="G85" s="149">
        <f aca="true" t="shared" si="11" ref="G85:G148">B85-F85</f>
        <v>0</v>
      </c>
    </row>
    <row r="86" spans="1:7" ht="12.75" hidden="1">
      <c r="A86" s="22">
        <f aca="true" t="shared" si="12" ref="A86:A149">A85+1</f>
        <v>66</v>
      </c>
      <c r="B86" s="148">
        <f aca="true" t="shared" si="13" ref="B86:B149">IF(A86&lt;=$D$9,G85,0)</f>
        <v>0</v>
      </c>
      <c r="C86" s="148">
        <f t="shared" si="7"/>
        <v>0</v>
      </c>
      <c r="D86" s="148">
        <f t="shared" si="8"/>
        <v>0</v>
      </c>
      <c r="E86" s="348">
        <f t="shared" si="9"/>
        <v>0</v>
      </c>
      <c r="F86" s="148">
        <f t="shared" si="10"/>
        <v>0</v>
      </c>
      <c r="G86" s="149">
        <f t="shared" si="11"/>
        <v>0</v>
      </c>
    </row>
    <row r="87" spans="1:7" ht="12.75" hidden="1">
      <c r="A87" s="22">
        <f t="shared" si="12"/>
        <v>67</v>
      </c>
      <c r="B87" s="148">
        <f t="shared" si="13"/>
        <v>0</v>
      </c>
      <c r="C87" s="148">
        <f t="shared" si="7"/>
        <v>0</v>
      </c>
      <c r="D87" s="148">
        <f t="shared" si="8"/>
        <v>0</v>
      </c>
      <c r="E87" s="348">
        <f t="shared" si="9"/>
        <v>0</v>
      </c>
      <c r="F87" s="148">
        <f t="shared" si="10"/>
        <v>0</v>
      </c>
      <c r="G87" s="149">
        <f t="shared" si="11"/>
        <v>0</v>
      </c>
    </row>
    <row r="88" spans="1:7" ht="12.75" hidden="1">
      <c r="A88" s="22">
        <f t="shared" si="12"/>
        <v>68</v>
      </c>
      <c r="B88" s="148">
        <f t="shared" si="13"/>
        <v>0</v>
      </c>
      <c r="C88" s="148">
        <f t="shared" si="7"/>
        <v>0</v>
      </c>
      <c r="D88" s="148">
        <f t="shared" si="8"/>
        <v>0</v>
      </c>
      <c r="E88" s="348">
        <f t="shared" si="9"/>
        <v>0</v>
      </c>
      <c r="F88" s="148">
        <f t="shared" si="10"/>
        <v>0</v>
      </c>
      <c r="G88" s="149">
        <f t="shared" si="11"/>
        <v>0</v>
      </c>
    </row>
    <row r="89" spans="1:7" ht="12.75" hidden="1">
      <c r="A89" s="22">
        <f t="shared" si="12"/>
        <v>69</v>
      </c>
      <c r="B89" s="148">
        <f t="shared" si="13"/>
        <v>0</v>
      </c>
      <c r="C89" s="148">
        <f t="shared" si="7"/>
        <v>0</v>
      </c>
      <c r="D89" s="148">
        <f t="shared" si="8"/>
        <v>0</v>
      </c>
      <c r="E89" s="348">
        <f t="shared" si="9"/>
        <v>0</v>
      </c>
      <c r="F89" s="148">
        <f t="shared" si="10"/>
        <v>0</v>
      </c>
      <c r="G89" s="149">
        <f t="shared" si="11"/>
        <v>0</v>
      </c>
    </row>
    <row r="90" spans="1:7" ht="12.75" hidden="1">
      <c r="A90" s="22">
        <f t="shared" si="12"/>
        <v>70</v>
      </c>
      <c r="B90" s="148">
        <f t="shared" si="13"/>
        <v>0</v>
      </c>
      <c r="C90" s="148">
        <f t="shared" si="7"/>
        <v>0</v>
      </c>
      <c r="D90" s="148">
        <f t="shared" si="8"/>
        <v>0</v>
      </c>
      <c r="E90" s="348">
        <f t="shared" si="9"/>
        <v>0</v>
      </c>
      <c r="F90" s="148">
        <f t="shared" si="10"/>
        <v>0</v>
      </c>
      <c r="G90" s="149">
        <f t="shared" si="11"/>
        <v>0</v>
      </c>
    </row>
    <row r="91" spans="1:7" ht="12.75" hidden="1">
      <c r="A91" s="22">
        <f t="shared" si="12"/>
        <v>71</v>
      </c>
      <c r="B91" s="148">
        <f t="shared" si="13"/>
        <v>0</v>
      </c>
      <c r="C91" s="148">
        <f t="shared" si="7"/>
        <v>0</v>
      </c>
      <c r="D91" s="148">
        <f t="shared" si="8"/>
        <v>0</v>
      </c>
      <c r="E91" s="348">
        <f t="shared" si="9"/>
        <v>0</v>
      </c>
      <c r="F91" s="148">
        <f t="shared" si="10"/>
        <v>0</v>
      </c>
      <c r="G91" s="149">
        <f t="shared" si="11"/>
        <v>0</v>
      </c>
    </row>
    <row r="92" spans="1:7" ht="12.75" hidden="1">
      <c r="A92" s="22">
        <f t="shared" si="12"/>
        <v>72</v>
      </c>
      <c r="B92" s="148">
        <f t="shared" si="13"/>
        <v>0</v>
      </c>
      <c r="C92" s="148">
        <f t="shared" si="7"/>
        <v>0</v>
      </c>
      <c r="D92" s="148">
        <f t="shared" si="8"/>
        <v>0</v>
      </c>
      <c r="E92" s="348">
        <f t="shared" si="9"/>
        <v>0</v>
      </c>
      <c r="F92" s="148">
        <f t="shared" si="10"/>
        <v>0</v>
      </c>
      <c r="G92" s="149">
        <f t="shared" si="11"/>
        <v>0</v>
      </c>
    </row>
    <row r="93" spans="1:7" ht="12.75" hidden="1">
      <c r="A93" s="22">
        <f t="shared" si="12"/>
        <v>73</v>
      </c>
      <c r="B93" s="148">
        <f t="shared" si="13"/>
        <v>0</v>
      </c>
      <c r="C93" s="148">
        <f t="shared" si="7"/>
        <v>0</v>
      </c>
      <c r="D93" s="148">
        <f t="shared" si="8"/>
        <v>0</v>
      </c>
      <c r="E93" s="348">
        <f t="shared" si="9"/>
        <v>0</v>
      </c>
      <c r="F93" s="148">
        <f t="shared" si="10"/>
        <v>0</v>
      </c>
      <c r="G93" s="149">
        <f t="shared" si="11"/>
        <v>0</v>
      </c>
    </row>
    <row r="94" spans="1:7" ht="12.75" hidden="1">
      <c r="A94" s="22">
        <f t="shared" si="12"/>
        <v>74</v>
      </c>
      <c r="B94" s="148">
        <f t="shared" si="13"/>
        <v>0</v>
      </c>
      <c r="C94" s="148">
        <f t="shared" si="7"/>
        <v>0</v>
      </c>
      <c r="D94" s="148">
        <f t="shared" si="8"/>
        <v>0</v>
      </c>
      <c r="E94" s="348">
        <f t="shared" si="9"/>
        <v>0</v>
      </c>
      <c r="F94" s="148">
        <f t="shared" si="10"/>
        <v>0</v>
      </c>
      <c r="G94" s="149">
        <f t="shared" si="11"/>
        <v>0</v>
      </c>
    </row>
    <row r="95" spans="1:7" ht="12.75" hidden="1">
      <c r="A95" s="22">
        <f t="shared" si="12"/>
        <v>75</v>
      </c>
      <c r="B95" s="148">
        <f t="shared" si="13"/>
        <v>0</v>
      </c>
      <c r="C95" s="148">
        <f t="shared" si="7"/>
        <v>0</v>
      </c>
      <c r="D95" s="148">
        <f t="shared" si="8"/>
        <v>0</v>
      </c>
      <c r="E95" s="348">
        <f t="shared" si="9"/>
        <v>0</v>
      </c>
      <c r="F95" s="148">
        <f t="shared" si="10"/>
        <v>0</v>
      </c>
      <c r="G95" s="149">
        <f t="shared" si="11"/>
        <v>0</v>
      </c>
    </row>
    <row r="96" spans="1:7" ht="12.75" hidden="1">
      <c r="A96" s="22">
        <f t="shared" si="12"/>
        <v>76</v>
      </c>
      <c r="B96" s="148">
        <f t="shared" si="13"/>
        <v>0</v>
      </c>
      <c r="C96" s="148">
        <f t="shared" si="7"/>
        <v>0</v>
      </c>
      <c r="D96" s="148">
        <f t="shared" si="8"/>
        <v>0</v>
      </c>
      <c r="E96" s="348">
        <f t="shared" si="9"/>
        <v>0</v>
      </c>
      <c r="F96" s="148">
        <f t="shared" si="10"/>
        <v>0</v>
      </c>
      <c r="G96" s="149">
        <f t="shared" si="11"/>
        <v>0</v>
      </c>
    </row>
    <row r="97" spans="1:7" ht="12.75" hidden="1">
      <c r="A97" s="22">
        <f t="shared" si="12"/>
        <v>77</v>
      </c>
      <c r="B97" s="148">
        <f t="shared" si="13"/>
        <v>0</v>
      </c>
      <c r="C97" s="148">
        <f t="shared" si="7"/>
        <v>0</v>
      </c>
      <c r="D97" s="148">
        <f t="shared" si="8"/>
        <v>0</v>
      </c>
      <c r="E97" s="348">
        <f t="shared" si="9"/>
        <v>0</v>
      </c>
      <c r="F97" s="148">
        <f t="shared" si="10"/>
        <v>0</v>
      </c>
      <c r="G97" s="149">
        <f t="shared" si="11"/>
        <v>0</v>
      </c>
    </row>
    <row r="98" spans="1:7" ht="12.75" hidden="1">
      <c r="A98" s="22">
        <f t="shared" si="12"/>
        <v>78</v>
      </c>
      <c r="B98" s="148">
        <f t="shared" si="13"/>
        <v>0</v>
      </c>
      <c r="C98" s="148">
        <f t="shared" si="7"/>
        <v>0</v>
      </c>
      <c r="D98" s="148">
        <f t="shared" si="8"/>
        <v>0</v>
      </c>
      <c r="E98" s="348">
        <f t="shared" si="9"/>
        <v>0</v>
      </c>
      <c r="F98" s="148">
        <f t="shared" si="10"/>
        <v>0</v>
      </c>
      <c r="G98" s="149">
        <f t="shared" si="11"/>
        <v>0</v>
      </c>
    </row>
    <row r="99" spans="1:7" ht="12.75" hidden="1">
      <c r="A99" s="22">
        <f t="shared" si="12"/>
        <v>79</v>
      </c>
      <c r="B99" s="148">
        <f t="shared" si="13"/>
        <v>0</v>
      </c>
      <c r="C99" s="148">
        <f t="shared" si="7"/>
        <v>0</v>
      </c>
      <c r="D99" s="148">
        <f t="shared" si="8"/>
        <v>0</v>
      </c>
      <c r="E99" s="348">
        <f t="shared" si="9"/>
        <v>0</v>
      </c>
      <c r="F99" s="148">
        <f t="shared" si="10"/>
        <v>0</v>
      </c>
      <c r="G99" s="149">
        <f t="shared" si="11"/>
        <v>0</v>
      </c>
    </row>
    <row r="100" spans="1:7" ht="12.75" hidden="1">
      <c r="A100" s="22">
        <f t="shared" si="12"/>
        <v>80</v>
      </c>
      <c r="B100" s="148">
        <f t="shared" si="13"/>
        <v>0</v>
      </c>
      <c r="C100" s="148">
        <f t="shared" si="7"/>
        <v>0</v>
      </c>
      <c r="D100" s="148">
        <f t="shared" si="8"/>
        <v>0</v>
      </c>
      <c r="E100" s="348">
        <f t="shared" si="9"/>
        <v>0</v>
      </c>
      <c r="F100" s="148">
        <f t="shared" si="10"/>
        <v>0</v>
      </c>
      <c r="G100" s="149">
        <f t="shared" si="11"/>
        <v>0</v>
      </c>
    </row>
    <row r="101" spans="1:7" ht="12.75" hidden="1">
      <c r="A101" s="22">
        <f t="shared" si="12"/>
        <v>81</v>
      </c>
      <c r="B101" s="148">
        <f t="shared" si="13"/>
        <v>0</v>
      </c>
      <c r="C101" s="148">
        <f t="shared" si="7"/>
        <v>0</v>
      </c>
      <c r="D101" s="148">
        <f t="shared" si="8"/>
        <v>0</v>
      </c>
      <c r="E101" s="348">
        <f t="shared" si="9"/>
        <v>0</v>
      </c>
      <c r="F101" s="148">
        <f t="shared" si="10"/>
        <v>0</v>
      </c>
      <c r="G101" s="149">
        <f t="shared" si="11"/>
        <v>0</v>
      </c>
    </row>
    <row r="102" spans="1:7" ht="12.75" hidden="1">
      <c r="A102" s="22">
        <f t="shared" si="12"/>
        <v>82</v>
      </c>
      <c r="B102" s="148">
        <f t="shared" si="13"/>
        <v>0</v>
      </c>
      <c r="C102" s="148">
        <f t="shared" si="7"/>
        <v>0</v>
      </c>
      <c r="D102" s="148">
        <f t="shared" si="8"/>
        <v>0</v>
      </c>
      <c r="E102" s="348">
        <f t="shared" si="9"/>
        <v>0</v>
      </c>
      <c r="F102" s="148">
        <f t="shared" si="10"/>
        <v>0</v>
      </c>
      <c r="G102" s="149">
        <f t="shared" si="11"/>
        <v>0</v>
      </c>
    </row>
    <row r="103" spans="1:7" ht="12.75" hidden="1">
      <c r="A103" s="22">
        <f t="shared" si="12"/>
        <v>83</v>
      </c>
      <c r="B103" s="148">
        <f t="shared" si="13"/>
        <v>0</v>
      </c>
      <c r="C103" s="148">
        <f t="shared" si="7"/>
        <v>0</v>
      </c>
      <c r="D103" s="148">
        <f t="shared" si="8"/>
        <v>0</v>
      </c>
      <c r="E103" s="348">
        <f t="shared" si="9"/>
        <v>0</v>
      </c>
      <c r="F103" s="148">
        <f t="shared" si="10"/>
        <v>0</v>
      </c>
      <c r="G103" s="149">
        <f t="shared" si="11"/>
        <v>0</v>
      </c>
    </row>
    <row r="104" spans="1:7" ht="12.75" hidden="1">
      <c r="A104" s="22">
        <f t="shared" si="12"/>
        <v>84</v>
      </c>
      <c r="B104" s="148">
        <f t="shared" si="13"/>
        <v>0</v>
      </c>
      <c r="C104" s="148">
        <f t="shared" si="7"/>
        <v>0</v>
      </c>
      <c r="D104" s="148">
        <f t="shared" si="8"/>
        <v>0</v>
      </c>
      <c r="E104" s="348">
        <f t="shared" si="9"/>
        <v>0</v>
      </c>
      <c r="F104" s="148">
        <f t="shared" si="10"/>
        <v>0</v>
      </c>
      <c r="G104" s="149">
        <f t="shared" si="11"/>
        <v>0</v>
      </c>
    </row>
    <row r="105" spans="1:7" ht="12.75" hidden="1">
      <c r="A105" s="22">
        <f t="shared" si="12"/>
        <v>85</v>
      </c>
      <c r="B105" s="148">
        <f t="shared" si="13"/>
        <v>0</v>
      </c>
      <c r="C105" s="148">
        <f t="shared" si="7"/>
        <v>0</v>
      </c>
      <c r="D105" s="148">
        <f t="shared" si="8"/>
        <v>0</v>
      </c>
      <c r="E105" s="348">
        <f t="shared" si="9"/>
        <v>0</v>
      </c>
      <c r="F105" s="148">
        <f t="shared" si="10"/>
        <v>0</v>
      </c>
      <c r="G105" s="149">
        <f t="shared" si="11"/>
        <v>0</v>
      </c>
    </row>
    <row r="106" spans="1:7" ht="12.75" hidden="1">
      <c r="A106" s="22">
        <f t="shared" si="12"/>
        <v>86</v>
      </c>
      <c r="B106" s="148">
        <f t="shared" si="13"/>
        <v>0</v>
      </c>
      <c r="C106" s="148">
        <f t="shared" si="7"/>
        <v>0</v>
      </c>
      <c r="D106" s="148">
        <f t="shared" si="8"/>
        <v>0</v>
      </c>
      <c r="E106" s="348">
        <f t="shared" si="9"/>
        <v>0</v>
      </c>
      <c r="F106" s="148">
        <f t="shared" si="10"/>
        <v>0</v>
      </c>
      <c r="G106" s="149">
        <f t="shared" si="11"/>
        <v>0</v>
      </c>
    </row>
    <row r="107" spans="1:7" ht="12.75" hidden="1">
      <c r="A107" s="22">
        <f t="shared" si="12"/>
        <v>87</v>
      </c>
      <c r="B107" s="148">
        <f t="shared" si="13"/>
        <v>0</v>
      </c>
      <c r="C107" s="148">
        <f t="shared" si="7"/>
        <v>0</v>
      </c>
      <c r="D107" s="148">
        <f t="shared" si="8"/>
        <v>0</v>
      </c>
      <c r="E107" s="348">
        <f t="shared" si="9"/>
        <v>0</v>
      </c>
      <c r="F107" s="148">
        <f t="shared" si="10"/>
        <v>0</v>
      </c>
      <c r="G107" s="149">
        <f t="shared" si="11"/>
        <v>0</v>
      </c>
    </row>
    <row r="108" spans="1:7" ht="12.75" hidden="1">
      <c r="A108" s="22">
        <f t="shared" si="12"/>
        <v>88</v>
      </c>
      <c r="B108" s="148">
        <f t="shared" si="13"/>
        <v>0</v>
      </c>
      <c r="C108" s="148">
        <f t="shared" si="7"/>
        <v>0</v>
      </c>
      <c r="D108" s="148">
        <f t="shared" si="8"/>
        <v>0</v>
      </c>
      <c r="E108" s="348">
        <f t="shared" si="9"/>
        <v>0</v>
      </c>
      <c r="F108" s="148">
        <f t="shared" si="10"/>
        <v>0</v>
      </c>
      <c r="G108" s="149">
        <f t="shared" si="11"/>
        <v>0</v>
      </c>
    </row>
    <row r="109" spans="1:7" ht="12.75" hidden="1">
      <c r="A109" s="22">
        <f t="shared" si="12"/>
        <v>89</v>
      </c>
      <c r="B109" s="148">
        <f t="shared" si="13"/>
        <v>0</v>
      </c>
      <c r="C109" s="148">
        <f t="shared" si="7"/>
        <v>0</v>
      </c>
      <c r="D109" s="148">
        <f t="shared" si="8"/>
        <v>0</v>
      </c>
      <c r="E109" s="348">
        <f t="shared" si="9"/>
        <v>0</v>
      </c>
      <c r="F109" s="148">
        <f t="shared" si="10"/>
        <v>0</v>
      </c>
      <c r="G109" s="149">
        <f t="shared" si="11"/>
        <v>0</v>
      </c>
    </row>
    <row r="110" spans="1:7" ht="12.75" hidden="1">
      <c r="A110" s="22">
        <f t="shared" si="12"/>
        <v>90</v>
      </c>
      <c r="B110" s="148">
        <f t="shared" si="13"/>
        <v>0</v>
      </c>
      <c r="C110" s="148">
        <f t="shared" si="7"/>
        <v>0</v>
      </c>
      <c r="D110" s="148">
        <f t="shared" si="8"/>
        <v>0</v>
      </c>
      <c r="E110" s="348">
        <f t="shared" si="9"/>
        <v>0</v>
      </c>
      <c r="F110" s="148">
        <f t="shared" si="10"/>
        <v>0</v>
      </c>
      <c r="G110" s="149">
        <f t="shared" si="11"/>
        <v>0</v>
      </c>
    </row>
    <row r="111" spans="1:7" ht="12.75" hidden="1">
      <c r="A111" s="22">
        <f t="shared" si="12"/>
        <v>91</v>
      </c>
      <c r="B111" s="148">
        <f t="shared" si="13"/>
        <v>0</v>
      </c>
      <c r="C111" s="148">
        <f t="shared" si="7"/>
        <v>0</v>
      </c>
      <c r="D111" s="148">
        <f t="shared" si="8"/>
        <v>0</v>
      </c>
      <c r="E111" s="348">
        <f t="shared" si="9"/>
        <v>0</v>
      </c>
      <c r="F111" s="148">
        <f t="shared" si="10"/>
        <v>0</v>
      </c>
      <c r="G111" s="149">
        <f t="shared" si="11"/>
        <v>0</v>
      </c>
    </row>
    <row r="112" spans="1:7" ht="12.75" hidden="1">
      <c r="A112" s="22">
        <f t="shared" si="12"/>
        <v>92</v>
      </c>
      <c r="B112" s="148">
        <f t="shared" si="13"/>
        <v>0</v>
      </c>
      <c r="C112" s="148">
        <f t="shared" si="7"/>
        <v>0</v>
      </c>
      <c r="D112" s="148">
        <f t="shared" si="8"/>
        <v>0</v>
      </c>
      <c r="E112" s="348">
        <f t="shared" si="9"/>
        <v>0</v>
      </c>
      <c r="F112" s="148">
        <f t="shared" si="10"/>
        <v>0</v>
      </c>
      <c r="G112" s="149">
        <f t="shared" si="11"/>
        <v>0</v>
      </c>
    </row>
    <row r="113" spans="1:7" ht="12.75" hidden="1">
      <c r="A113" s="22">
        <f t="shared" si="12"/>
        <v>93</v>
      </c>
      <c r="B113" s="148">
        <f t="shared" si="13"/>
        <v>0</v>
      </c>
      <c r="C113" s="148">
        <f t="shared" si="7"/>
        <v>0</v>
      </c>
      <c r="D113" s="148">
        <f t="shared" si="8"/>
        <v>0</v>
      </c>
      <c r="E113" s="348">
        <f t="shared" si="9"/>
        <v>0</v>
      </c>
      <c r="F113" s="148">
        <f t="shared" si="10"/>
        <v>0</v>
      </c>
      <c r="G113" s="149">
        <f t="shared" si="11"/>
        <v>0</v>
      </c>
    </row>
    <row r="114" spans="1:7" ht="12.75" hidden="1">
      <c r="A114" s="22">
        <f t="shared" si="12"/>
        <v>94</v>
      </c>
      <c r="B114" s="148">
        <f t="shared" si="13"/>
        <v>0</v>
      </c>
      <c r="C114" s="148">
        <f t="shared" si="7"/>
        <v>0</v>
      </c>
      <c r="D114" s="148">
        <f t="shared" si="8"/>
        <v>0</v>
      </c>
      <c r="E114" s="348">
        <f t="shared" si="9"/>
        <v>0</v>
      </c>
      <c r="F114" s="148">
        <f t="shared" si="10"/>
        <v>0</v>
      </c>
      <c r="G114" s="149">
        <f t="shared" si="11"/>
        <v>0</v>
      </c>
    </row>
    <row r="115" spans="1:7" ht="12.75" hidden="1">
      <c r="A115" s="22">
        <f t="shared" si="12"/>
        <v>95</v>
      </c>
      <c r="B115" s="148">
        <f t="shared" si="13"/>
        <v>0</v>
      </c>
      <c r="C115" s="148">
        <f t="shared" si="7"/>
        <v>0</v>
      </c>
      <c r="D115" s="148">
        <f t="shared" si="8"/>
        <v>0</v>
      </c>
      <c r="E115" s="348">
        <f t="shared" si="9"/>
        <v>0</v>
      </c>
      <c r="F115" s="148">
        <f t="shared" si="10"/>
        <v>0</v>
      </c>
      <c r="G115" s="149">
        <f t="shared" si="11"/>
        <v>0</v>
      </c>
    </row>
    <row r="116" spans="1:7" ht="12.75" hidden="1">
      <c r="A116" s="22">
        <f t="shared" si="12"/>
        <v>96</v>
      </c>
      <c r="B116" s="148">
        <f t="shared" si="13"/>
        <v>0</v>
      </c>
      <c r="C116" s="148">
        <f t="shared" si="7"/>
        <v>0</v>
      </c>
      <c r="D116" s="148">
        <f t="shared" si="8"/>
        <v>0</v>
      </c>
      <c r="E116" s="348">
        <f t="shared" si="9"/>
        <v>0</v>
      </c>
      <c r="F116" s="148">
        <f t="shared" si="10"/>
        <v>0</v>
      </c>
      <c r="G116" s="149">
        <f t="shared" si="11"/>
        <v>0</v>
      </c>
    </row>
    <row r="117" spans="1:7" ht="12.75" hidden="1">
      <c r="A117" s="22">
        <f t="shared" si="12"/>
        <v>97</v>
      </c>
      <c r="B117" s="148">
        <f t="shared" si="13"/>
        <v>0</v>
      </c>
      <c r="C117" s="148">
        <f t="shared" si="7"/>
        <v>0</v>
      </c>
      <c r="D117" s="148">
        <f t="shared" si="8"/>
        <v>0</v>
      </c>
      <c r="E117" s="348">
        <f t="shared" si="9"/>
        <v>0</v>
      </c>
      <c r="F117" s="148">
        <f t="shared" si="10"/>
        <v>0</v>
      </c>
      <c r="G117" s="149">
        <f t="shared" si="11"/>
        <v>0</v>
      </c>
    </row>
    <row r="118" spans="1:7" ht="12.75" hidden="1">
      <c r="A118" s="22">
        <f t="shared" si="12"/>
        <v>98</v>
      </c>
      <c r="B118" s="148">
        <f t="shared" si="13"/>
        <v>0</v>
      </c>
      <c r="C118" s="148">
        <f t="shared" si="7"/>
        <v>0</v>
      </c>
      <c r="D118" s="148">
        <f t="shared" si="8"/>
        <v>0</v>
      </c>
      <c r="E118" s="348">
        <f t="shared" si="9"/>
        <v>0</v>
      </c>
      <c r="F118" s="148">
        <f t="shared" si="10"/>
        <v>0</v>
      </c>
      <c r="G118" s="149">
        <f t="shared" si="11"/>
        <v>0</v>
      </c>
    </row>
    <row r="119" spans="1:7" ht="12.75" hidden="1">
      <c r="A119" s="22">
        <f t="shared" si="12"/>
        <v>99</v>
      </c>
      <c r="B119" s="148">
        <f t="shared" si="13"/>
        <v>0</v>
      </c>
      <c r="C119" s="148">
        <f t="shared" si="7"/>
        <v>0</v>
      </c>
      <c r="D119" s="148">
        <f t="shared" si="8"/>
        <v>0</v>
      </c>
      <c r="E119" s="348">
        <f t="shared" si="9"/>
        <v>0</v>
      </c>
      <c r="F119" s="148">
        <f t="shared" si="10"/>
        <v>0</v>
      </c>
      <c r="G119" s="149">
        <f t="shared" si="11"/>
        <v>0</v>
      </c>
    </row>
    <row r="120" spans="1:7" ht="12.75" hidden="1">
      <c r="A120" s="22">
        <f t="shared" si="12"/>
        <v>100</v>
      </c>
      <c r="B120" s="148">
        <f t="shared" si="13"/>
        <v>0</v>
      </c>
      <c r="C120" s="148">
        <f t="shared" si="7"/>
        <v>0</v>
      </c>
      <c r="D120" s="148">
        <f t="shared" si="8"/>
        <v>0</v>
      </c>
      <c r="E120" s="348">
        <f t="shared" si="9"/>
        <v>0</v>
      </c>
      <c r="F120" s="148">
        <f t="shared" si="10"/>
        <v>0</v>
      </c>
      <c r="G120" s="149">
        <f t="shared" si="11"/>
        <v>0</v>
      </c>
    </row>
    <row r="121" spans="1:7" ht="12.75" hidden="1">
      <c r="A121" s="22">
        <f t="shared" si="12"/>
        <v>101</v>
      </c>
      <c r="B121" s="148">
        <f t="shared" si="13"/>
        <v>0</v>
      </c>
      <c r="C121" s="148">
        <f t="shared" si="7"/>
        <v>0</v>
      </c>
      <c r="D121" s="148">
        <f t="shared" si="8"/>
        <v>0</v>
      </c>
      <c r="E121" s="348">
        <f t="shared" si="9"/>
        <v>0</v>
      </c>
      <c r="F121" s="148">
        <f t="shared" si="10"/>
        <v>0</v>
      </c>
      <c r="G121" s="149">
        <f t="shared" si="11"/>
        <v>0</v>
      </c>
    </row>
    <row r="122" spans="1:7" ht="12.75" hidden="1">
      <c r="A122" s="22">
        <f t="shared" si="12"/>
        <v>102</v>
      </c>
      <c r="B122" s="148">
        <f t="shared" si="13"/>
        <v>0</v>
      </c>
      <c r="C122" s="148">
        <f t="shared" si="7"/>
        <v>0</v>
      </c>
      <c r="D122" s="148">
        <f t="shared" si="8"/>
        <v>0</v>
      </c>
      <c r="E122" s="348">
        <f t="shared" si="9"/>
        <v>0</v>
      </c>
      <c r="F122" s="148">
        <f t="shared" si="10"/>
        <v>0</v>
      </c>
      <c r="G122" s="149">
        <f t="shared" si="11"/>
        <v>0</v>
      </c>
    </row>
    <row r="123" spans="1:7" ht="12.75" hidden="1">
      <c r="A123" s="22">
        <f t="shared" si="12"/>
        <v>103</v>
      </c>
      <c r="B123" s="148">
        <f t="shared" si="13"/>
        <v>0</v>
      </c>
      <c r="C123" s="148">
        <f t="shared" si="7"/>
        <v>0</v>
      </c>
      <c r="D123" s="148">
        <f t="shared" si="8"/>
        <v>0</v>
      </c>
      <c r="E123" s="348">
        <f t="shared" si="9"/>
        <v>0</v>
      </c>
      <c r="F123" s="148">
        <f t="shared" si="10"/>
        <v>0</v>
      </c>
      <c r="G123" s="149">
        <f t="shared" si="11"/>
        <v>0</v>
      </c>
    </row>
    <row r="124" spans="1:7" ht="12.75" hidden="1">
      <c r="A124" s="22">
        <f t="shared" si="12"/>
        <v>104</v>
      </c>
      <c r="B124" s="148">
        <f t="shared" si="13"/>
        <v>0</v>
      </c>
      <c r="C124" s="148">
        <f t="shared" si="7"/>
        <v>0</v>
      </c>
      <c r="D124" s="148">
        <f t="shared" si="8"/>
        <v>0</v>
      </c>
      <c r="E124" s="348">
        <f t="shared" si="9"/>
        <v>0</v>
      </c>
      <c r="F124" s="148">
        <f t="shared" si="10"/>
        <v>0</v>
      </c>
      <c r="G124" s="149">
        <f t="shared" si="11"/>
        <v>0</v>
      </c>
    </row>
    <row r="125" spans="1:7" ht="12.75" hidden="1">
      <c r="A125" s="22">
        <f t="shared" si="12"/>
        <v>105</v>
      </c>
      <c r="B125" s="148">
        <f t="shared" si="13"/>
        <v>0</v>
      </c>
      <c r="C125" s="148">
        <f t="shared" si="7"/>
        <v>0</v>
      </c>
      <c r="D125" s="148">
        <f t="shared" si="8"/>
        <v>0</v>
      </c>
      <c r="E125" s="348">
        <f t="shared" si="9"/>
        <v>0</v>
      </c>
      <c r="F125" s="148">
        <f t="shared" si="10"/>
        <v>0</v>
      </c>
      <c r="G125" s="149">
        <f t="shared" si="11"/>
        <v>0</v>
      </c>
    </row>
    <row r="126" spans="1:7" ht="12.75" hidden="1">
      <c r="A126" s="22">
        <f t="shared" si="12"/>
        <v>106</v>
      </c>
      <c r="B126" s="148">
        <f t="shared" si="13"/>
        <v>0</v>
      </c>
      <c r="C126" s="148">
        <f t="shared" si="7"/>
        <v>0</v>
      </c>
      <c r="D126" s="148">
        <f t="shared" si="8"/>
        <v>0</v>
      </c>
      <c r="E126" s="348">
        <f t="shared" si="9"/>
        <v>0</v>
      </c>
      <c r="F126" s="148">
        <f t="shared" si="10"/>
        <v>0</v>
      </c>
      <c r="G126" s="149">
        <f t="shared" si="11"/>
        <v>0</v>
      </c>
    </row>
    <row r="127" spans="1:7" ht="12.75" hidden="1">
      <c r="A127" s="22">
        <f t="shared" si="12"/>
        <v>107</v>
      </c>
      <c r="B127" s="148">
        <f t="shared" si="13"/>
        <v>0</v>
      </c>
      <c r="C127" s="148">
        <f t="shared" si="7"/>
        <v>0</v>
      </c>
      <c r="D127" s="148">
        <f t="shared" si="8"/>
        <v>0</v>
      </c>
      <c r="E127" s="348">
        <f t="shared" si="9"/>
        <v>0</v>
      </c>
      <c r="F127" s="148">
        <f t="shared" si="10"/>
        <v>0</v>
      </c>
      <c r="G127" s="149">
        <f t="shared" si="11"/>
        <v>0</v>
      </c>
    </row>
    <row r="128" spans="1:7" ht="12.75" hidden="1">
      <c r="A128" s="22">
        <f t="shared" si="12"/>
        <v>108</v>
      </c>
      <c r="B128" s="148">
        <f t="shared" si="13"/>
        <v>0</v>
      </c>
      <c r="C128" s="148">
        <f t="shared" si="7"/>
        <v>0</v>
      </c>
      <c r="D128" s="148">
        <f t="shared" si="8"/>
        <v>0</v>
      </c>
      <c r="E128" s="348">
        <f t="shared" si="9"/>
        <v>0</v>
      </c>
      <c r="F128" s="148">
        <f t="shared" si="10"/>
        <v>0</v>
      </c>
      <c r="G128" s="149">
        <f t="shared" si="11"/>
        <v>0</v>
      </c>
    </row>
    <row r="129" spans="1:7" ht="12.75" hidden="1">
      <c r="A129" s="22">
        <f t="shared" si="12"/>
        <v>109</v>
      </c>
      <c r="B129" s="148">
        <f t="shared" si="13"/>
        <v>0</v>
      </c>
      <c r="C129" s="148">
        <f t="shared" si="7"/>
        <v>0</v>
      </c>
      <c r="D129" s="148">
        <f t="shared" si="8"/>
        <v>0</v>
      </c>
      <c r="E129" s="348">
        <f t="shared" si="9"/>
        <v>0</v>
      </c>
      <c r="F129" s="148">
        <f t="shared" si="10"/>
        <v>0</v>
      </c>
      <c r="G129" s="149">
        <f t="shared" si="11"/>
        <v>0</v>
      </c>
    </row>
    <row r="130" spans="1:7" ht="12.75" hidden="1">
      <c r="A130" s="22">
        <f t="shared" si="12"/>
        <v>110</v>
      </c>
      <c r="B130" s="148">
        <f t="shared" si="13"/>
        <v>0</v>
      </c>
      <c r="C130" s="148">
        <f t="shared" si="7"/>
        <v>0</v>
      </c>
      <c r="D130" s="148">
        <f t="shared" si="8"/>
        <v>0</v>
      </c>
      <c r="E130" s="348">
        <f t="shared" si="9"/>
        <v>0</v>
      </c>
      <c r="F130" s="148">
        <f t="shared" si="10"/>
        <v>0</v>
      </c>
      <c r="G130" s="149">
        <f t="shared" si="11"/>
        <v>0</v>
      </c>
    </row>
    <row r="131" spans="1:7" ht="12.75" hidden="1">
      <c r="A131" s="22">
        <f t="shared" si="12"/>
        <v>111</v>
      </c>
      <c r="B131" s="148">
        <f t="shared" si="13"/>
        <v>0</v>
      </c>
      <c r="C131" s="148">
        <f t="shared" si="7"/>
        <v>0</v>
      </c>
      <c r="D131" s="148">
        <f t="shared" si="8"/>
        <v>0</v>
      </c>
      <c r="E131" s="348">
        <f t="shared" si="9"/>
        <v>0</v>
      </c>
      <c r="F131" s="148">
        <f t="shared" si="10"/>
        <v>0</v>
      </c>
      <c r="G131" s="149">
        <f t="shared" si="11"/>
        <v>0</v>
      </c>
    </row>
    <row r="132" spans="1:7" ht="12.75" hidden="1">
      <c r="A132" s="22">
        <f t="shared" si="12"/>
        <v>112</v>
      </c>
      <c r="B132" s="148">
        <f t="shared" si="13"/>
        <v>0</v>
      </c>
      <c r="C132" s="148">
        <f t="shared" si="7"/>
        <v>0</v>
      </c>
      <c r="D132" s="148">
        <f t="shared" si="8"/>
        <v>0</v>
      </c>
      <c r="E132" s="348">
        <f t="shared" si="9"/>
        <v>0</v>
      </c>
      <c r="F132" s="148">
        <f t="shared" si="10"/>
        <v>0</v>
      </c>
      <c r="G132" s="149">
        <f t="shared" si="11"/>
        <v>0</v>
      </c>
    </row>
    <row r="133" spans="1:7" ht="12.75" hidden="1">
      <c r="A133" s="22">
        <f t="shared" si="12"/>
        <v>113</v>
      </c>
      <c r="B133" s="148">
        <f t="shared" si="13"/>
        <v>0</v>
      </c>
      <c r="C133" s="148">
        <f t="shared" si="7"/>
        <v>0</v>
      </c>
      <c r="D133" s="148">
        <f t="shared" si="8"/>
        <v>0</v>
      </c>
      <c r="E133" s="348">
        <f t="shared" si="9"/>
        <v>0</v>
      </c>
      <c r="F133" s="148">
        <f t="shared" si="10"/>
        <v>0</v>
      </c>
      <c r="G133" s="149">
        <f t="shared" si="11"/>
        <v>0</v>
      </c>
    </row>
    <row r="134" spans="1:7" ht="12.75" hidden="1">
      <c r="A134" s="22">
        <f t="shared" si="12"/>
        <v>114</v>
      </c>
      <c r="B134" s="148">
        <f t="shared" si="13"/>
        <v>0</v>
      </c>
      <c r="C134" s="148">
        <f t="shared" si="7"/>
        <v>0</v>
      </c>
      <c r="D134" s="148">
        <f t="shared" si="8"/>
        <v>0</v>
      </c>
      <c r="E134" s="348">
        <f t="shared" si="9"/>
        <v>0</v>
      </c>
      <c r="F134" s="148">
        <f t="shared" si="10"/>
        <v>0</v>
      </c>
      <c r="G134" s="149">
        <f t="shared" si="11"/>
        <v>0</v>
      </c>
    </row>
    <row r="135" spans="1:7" ht="12.75" hidden="1">
      <c r="A135" s="22">
        <f t="shared" si="12"/>
        <v>115</v>
      </c>
      <c r="B135" s="148">
        <f t="shared" si="13"/>
        <v>0</v>
      </c>
      <c r="C135" s="148">
        <f t="shared" si="7"/>
        <v>0</v>
      </c>
      <c r="D135" s="148">
        <f t="shared" si="8"/>
        <v>0</v>
      </c>
      <c r="E135" s="348">
        <f t="shared" si="9"/>
        <v>0</v>
      </c>
      <c r="F135" s="148">
        <f t="shared" si="10"/>
        <v>0</v>
      </c>
      <c r="G135" s="149">
        <f t="shared" si="11"/>
        <v>0</v>
      </c>
    </row>
    <row r="136" spans="1:7" ht="12.75" hidden="1">
      <c r="A136" s="22">
        <f t="shared" si="12"/>
        <v>116</v>
      </c>
      <c r="B136" s="148">
        <f t="shared" si="13"/>
        <v>0</v>
      </c>
      <c r="C136" s="148">
        <f t="shared" si="7"/>
        <v>0</v>
      </c>
      <c r="D136" s="148">
        <f t="shared" si="8"/>
        <v>0</v>
      </c>
      <c r="E136" s="348">
        <f t="shared" si="9"/>
        <v>0</v>
      </c>
      <c r="F136" s="148">
        <f t="shared" si="10"/>
        <v>0</v>
      </c>
      <c r="G136" s="149">
        <f t="shared" si="11"/>
        <v>0</v>
      </c>
    </row>
    <row r="137" spans="1:7" ht="12.75" hidden="1">
      <c r="A137" s="22">
        <f t="shared" si="12"/>
        <v>117</v>
      </c>
      <c r="B137" s="148">
        <f t="shared" si="13"/>
        <v>0</v>
      </c>
      <c r="C137" s="148">
        <f t="shared" si="7"/>
        <v>0</v>
      </c>
      <c r="D137" s="148">
        <f t="shared" si="8"/>
        <v>0</v>
      </c>
      <c r="E137" s="348">
        <f t="shared" si="9"/>
        <v>0</v>
      </c>
      <c r="F137" s="148">
        <f t="shared" si="10"/>
        <v>0</v>
      </c>
      <c r="G137" s="149">
        <f t="shared" si="11"/>
        <v>0</v>
      </c>
    </row>
    <row r="138" spans="1:7" ht="12.75" hidden="1">
      <c r="A138" s="22">
        <f t="shared" si="12"/>
        <v>118</v>
      </c>
      <c r="B138" s="148">
        <f t="shared" si="13"/>
        <v>0</v>
      </c>
      <c r="C138" s="148">
        <f t="shared" si="7"/>
        <v>0</v>
      </c>
      <c r="D138" s="148">
        <f t="shared" si="8"/>
        <v>0</v>
      </c>
      <c r="E138" s="348">
        <f t="shared" si="9"/>
        <v>0</v>
      </c>
      <c r="F138" s="148">
        <f t="shared" si="10"/>
        <v>0</v>
      </c>
      <c r="G138" s="149">
        <f t="shared" si="11"/>
        <v>0</v>
      </c>
    </row>
    <row r="139" spans="1:7" ht="12.75" hidden="1">
      <c r="A139" s="22">
        <f t="shared" si="12"/>
        <v>119</v>
      </c>
      <c r="B139" s="148">
        <f t="shared" si="13"/>
        <v>0</v>
      </c>
      <c r="C139" s="148">
        <f t="shared" si="7"/>
        <v>0</v>
      </c>
      <c r="D139" s="148">
        <f t="shared" si="8"/>
        <v>0</v>
      </c>
      <c r="E139" s="348">
        <f t="shared" si="9"/>
        <v>0</v>
      </c>
      <c r="F139" s="148">
        <f t="shared" si="10"/>
        <v>0</v>
      </c>
      <c r="G139" s="149">
        <f t="shared" si="11"/>
        <v>0</v>
      </c>
    </row>
    <row r="140" spans="1:7" ht="12.75" hidden="1">
      <c r="A140" s="22">
        <f t="shared" si="12"/>
        <v>120</v>
      </c>
      <c r="B140" s="148">
        <f t="shared" si="13"/>
        <v>0</v>
      </c>
      <c r="C140" s="148">
        <f t="shared" si="7"/>
        <v>0</v>
      </c>
      <c r="D140" s="148">
        <f t="shared" si="8"/>
        <v>0</v>
      </c>
      <c r="E140" s="348">
        <f t="shared" si="9"/>
        <v>0</v>
      </c>
      <c r="F140" s="148">
        <f t="shared" si="10"/>
        <v>0</v>
      </c>
      <c r="G140" s="149">
        <f t="shared" si="11"/>
        <v>0</v>
      </c>
    </row>
    <row r="141" spans="1:7" ht="12.75" hidden="1">
      <c r="A141" s="22">
        <f t="shared" si="12"/>
        <v>121</v>
      </c>
      <c r="B141" s="148">
        <f t="shared" si="13"/>
        <v>0</v>
      </c>
      <c r="C141" s="148">
        <f t="shared" si="7"/>
        <v>0</v>
      </c>
      <c r="D141" s="148">
        <f t="shared" si="8"/>
        <v>0</v>
      </c>
      <c r="E141" s="348">
        <f t="shared" si="9"/>
        <v>0</v>
      </c>
      <c r="F141" s="148">
        <f t="shared" si="10"/>
        <v>0</v>
      </c>
      <c r="G141" s="149">
        <f t="shared" si="11"/>
        <v>0</v>
      </c>
    </row>
    <row r="142" spans="1:7" ht="12.75" hidden="1">
      <c r="A142" s="22">
        <f t="shared" si="12"/>
        <v>122</v>
      </c>
      <c r="B142" s="148">
        <f t="shared" si="13"/>
        <v>0</v>
      </c>
      <c r="C142" s="148">
        <f t="shared" si="7"/>
        <v>0</v>
      </c>
      <c r="D142" s="148">
        <f t="shared" si="8"/>
        <v>0</v>
      </c>
      <c r="E142" s="348">
        <f t="shared" si="9"/>
        <v>0</v>
      </c>
      <c r="F142" s="148">
        <f t="shared" si="10"/>
        <v>0</v>
      </c>
      <c r="G142" s="149">
        <f t="shared" si="11"/>
        <v>0</v>
      </c>
    </row>
    <row r="143" spans="1:7" ht="12.75" hidden="1">
      <c r="A143" s="22">
        <f t="shared" si="12"/>
        <v>123</v>
      </c>
      <c r="B143" s="148">
        <f t="shared" si="13"/>
        <v>0</v>
      </c>
      <c r="C143" s="148">
        <f t="shared" si="7"/>
        <v>0</v>
      </c>
      <c r="D143" s="148">
        <f t="shared" si="8"/>
        <v>0</v>
      </c>
      <c r="E143" s="348">
        <f t="shared" si="9"/>
        <v>0</v>
      </c>
      <c r="F143" s="148">
        <f t="shared" si="10"/>
        <v>0</v>
      </c>
      <c r="G143" s="149">
        <f t="shared" si="11"/>
        <v>0</v>
      </c>
    </row>
    <row r="144" spans="1:7" ht="12.75" hidden="1">
      <c r="A144" s="22">
        <f t="shared" si="12"/>
        <v>124</v>
      </c>
      <c r="B144" s="148">
        <f t="shared" si="13"/>
        <v>0</v>
      </c>
      <c r="C144" s="148">
        <f t="shared" si="7"/>
        <v>0</v>
      </c>
      <c r="D144" s="148">
        <f t="shared" si="8"/>
        <v>0</v>
      </c>
      <c r="E144" s="348">
        <f t="shared" si="9"/>
        <v>0</v>
      </c>
      <c r="F144" s="148">
        <f t="shared" si="10"/>
        <v>0</v>
      </c>
      <c r="G144" s="149">
        <f t="shared" si="11"/>
        <v>0</v>
      </c>
    </row>
    <row r="145" spans="1:7" ht="12.75" hidden="1">
      <c r="A145" s="22">
        <f t="shared" si="12"/>
        <v>125</v>
      </c>
      <c r="B145" s="148">
        <f t="shared" si="13"/>
        <v>0</v>
      </c>
      <c r="C145" s="148">
        <f t="shared" si="7"/>
        <v>0</v>
      </c>
      <c r="D145" s="148">
        <f t="shared" si="8"/>
        <v>0</v>
      </c>
      <c r="E145" s="348">
        <f t="shared" si="9"/>
        <v>0</v>
      </c>
      <c r="F145" s="148">
        <f t="shared" si="10"/>
        <v>0</v>
      </c>
      <c r="G145" s="149">
        <f t="shared" si="11"/>
        <v>0</v>
      </c>
    </row>
    <row r="146" spans="1:7" ht="12.75" hidden="1">
      <c r="A146" s="22">
        <f t="shared" si="12"/>
        <v>126</v>
      </c>
      <c r="B146" s="148">
        <f t="shared" si="13"/>
        <v>0</v>
      </c>
      <c r="C146" s="148">
        <f t="shared" si="7"/>
        <v>0</v>
      </c>
      <c r="D146" s="148">
        <f t="shared" si="8"/>
        <v>0</v>
      </c>
      <c r="E146" s="348">
        <f t="shared" si="9"/>
        <v>0</v>
      </c>
      <c r="F146" s="148">
        <f t="shared" si="10"/>
        <v>0</v>
      </c>
      <c r="G146" s="149">
        <f t="shared" si="11"/>
        <v>0</v>
      </c>
    </row>
    <row r="147" spans="1:7" ht="12.75" hidden="1">
      <c r="A147" s="22">
        <f t="shared" si="12"/>
        <v>127</v>
      </c>
      <c r="B147" s="148">
        <f t="shared" si="13"/>
        <v>0</v>
      </c>
      <c r="C147" s="148">
        <f t="shared" si="7"/>
        <v>0</v>
      </c>
      <c r="D147" s="148">
        <f t="shared" si="8"/>
        <v>0</v>
      </c>
      <c r="E147" s="348">
        <f t="shared" si="9"/>
        <v>0</v>
      </c>
      <c r="F147" s="148">
        <f t="shared" si="10"/>
        <v>0</v>
      </c>
      <c r="G147" s="149">
        <f t="shared" si="11"/>
        <v>0</v>
      </c>
    </row>
    <row r="148" spans="1:7" ht="12.75" hidden="1">
      <c r="A148" s="22">
        <f t="shared" si="12"/>
        <v>128</v>
      </c>
      <c r="B148" s="148">
        <f t="shared" si="13"/>
        <v>0</v>
      </c>
      <c r="C148" s="148">
        <f t="shared" si="7"/>
        <v>0</v>
      </c>
      <c r="D148" s="148">
        <f t="shared" si="8"/>
        <v>0</v>
      </c>
      <c r="E148" s="348">
        <f t="shared" si="9"/>
        <v>0</v>
      </c>
      <c r="F148" s="148">
        <f t="shared" si="10"/>
        <v>0</v>
      </c>
      <c r="G148" s="149">
        <f t="shared" si="11"/>
        <v>0</v>
      </c>
    </row>
    <row r="149" spans="1:7" ht="12.75" hidden="1">
      <c r="A149" s="22">
        <f t="shared" si="12"/>
        <v>129</v>
      </c>
      <c r="B149" s="148">
        <f t="shared" si="13"/>
        <v>0</v>
      </c>
      <c r="C149" s="148">
        <f aca="true" t="shared" si="14" ref="C149:C212">IF(A149&lt;=$D$9,$D$14*-1,0)</f>
        <v>0</v>
      </c>
      <c r="D149" s="148">
        <f aca="true" t="shared" si="15" ref="D149:D212">IF(A149&gt;$D$9,0,$D$11*-1)</f>
        <v>0</v>
      </c>
      <c r="E149" s="348">
        <f aca="true" t="shared" si="16" ref="E149:E212">B149*$D$10</f>
        <v>0</v>
      </c>
      <c r="F149" s="148">
        <f aca="true" t="shared" si="17" ref="F149:F212">D149-E149</f>
        <v>0</v>
      </c>
      <c r="G149" s="149">
        <f aca="true" t="shared" si="18" ref="G149:G212">B149-F149</f>
        <v>0</v>
      </c>
    </row>
    <row r="150" spans="1:7" ht="12.75" hidden="1">
      <c r="A150" s="22">
        <f aca="true" t="shared" si="19" ref="A150:A213">A149+1</f>
        <v>130</v>
      </c>
      <c r="B150" s="148">
        <f aca="true" t="shared" si="20" ref="B150:B213">IF(A150&lt;=$D$9,G149,0)</f>
        <v>0</v>
      </c>
      <c r="C150" s="148">
        <f t="shared" si="14"/>
        <v>0</v>
      </c>
      <c r="D150" s="148">
        <f t="shared" si="15"/>
        <v>0</v>
      </c>
      <c r="E150" s="348">
        <f t="shared" si="16"/>
        <v>0</v>
      </c>
      <c r="F150" s="148">
        <f t="shared" si="17"/>
        <v>0</v>
      </c>
      <c r="G150" s="149">
        <f t="shared" si="18"/>
        <v>0</v>
      </c>
    </row>
    <row r="151" spans="1:7" ht="12.75" hidden="1">
      <c r="A151" s="22">
        <f t="shared" si="19"/>
        <v>131</v>
      </c>
      <c r="B151" s="148">
        <f t="shared" si="20"/>
        <v>0</v>
      </c>
      <c r="C151" s="148">
        <f t="shared" si="14"/>
        <v>0</v>
      </c>
      <c r="D151" s="148">
        <f t="shared" si="15"/>
        <v>0</v>
      </c>
      <c r="E151" s="348">
        <f t="shared" si="16"/>
        <v>0</v>
      </c>
      <c r="F151" s="148">
        <f t="shared" si="17"/>
        <v>0</v>
      </c>
      <c r="G151" s="149">
        <f t="shared" si="18"/>
        <v>0</v>
      </c>
    </row>
    <row r="152" spans="1:7" ht="12.75" hidden="1">
      <c r="A152" s="22">
        <f t="shared" si="19"/>
        <v>132</v>
      </c>
      <c r="B152" s="148">
        <f t="shared" si="20"/>
        <v>0</v>
      </c>
      <c r="C152" s="148">
        <f t="shared" si="14"/>
        <v>0</v>
      </c>
      <c r="D152" s="148">
        <f t="shared" si="15"/>
        <v>0</v>
      </c>
      <c r="E152" s="348">
        <f t="shared" si="16"/>
        <v>0</v>
      </c>
      <c r="F152" s="148">
        <f t="shared" si="17"/>
        <v>0</v>
      </c>
      <c r="G152" s="149">
        <f t="shared" si="18"/>
        <v>0</v>
      </c>
    </row>
    <row r="153" spans="1:7" ht="12.75" hidden="1">
      <c r="A153" s="22">
        <f t="shared" si="19"/>
        <v>133</v>
      </c>
      <c r="B153" s="148">
        <f t="shared" si="20"/>
        <v>0</v>
      </c>
      <c r="C153" s="148">
        <f t="shared" si="14"/>
        <v>0</v>
      </c>
      <c r="D153" s="148">
        <f t="shared" si="15"/>
        <v>0</v>
      </c>
      <c r="E153" s="348">
        <f t="shared" si="16"/>
        <v>0</v>
      </c>
      <c r="F153" s="148">
        <f t="shared" si="17"/>
        <v>0</v>
      </c>
      <c r="G153" s="149">
        <f t="shared" si="18"/>
        <v>0</v>
      </c>
    </row>
    <row r="154" spans="1:7" ht="12.75" hidden="1">
      <c r="A154" s="22">
        <f t="shared" si="19"/>
        <v>134</v>
      </c>
      <c r="B154" s="148">
        <f t="shared" si="20"/>
        <v>0</v>
      </c>
      <c r="C154" s="148">
        <f t="shared" si="14"/>
        <v>0</v>
      </c>
      <c r="D154" s="148">
        <f t="shared" si="15"/>
        <v>0</v>
      </c>
      <c r="E154" s="348">
        <f t="shared" si="16"/>
        <v>0</v>
      </c>
      <c r="F154" s="148">
        <f t="shared" si="17"/>
        <v>0</v>
      </c>
      <c r="G154" s="149">
        <f t="shared" si="18"/>
        <v>0</v>
      </c>
    </row>
    <row r="155" spans="1:7" ht="12.75" hidden="1">
      <c r="A155" s="22">
        <f t="shared" si="19"/>
        <v>135</v>
      </c>
      <c r="B155" s="148">
        <f t="shared" si="20"/>
        <v>0</v>
      </c>
      <c r="C155" s="148">
        <f t="shared" si="14"/>
        <v>0</v>
      </c>
      <c r="D155" s="148">
        <f t="shared" si="15"/>
        <v>0</v>
      </c>
      <c r="E155" s="348">
        <f t="shared" si="16"/>
        <v>0</v>
      </c>
      <c r="F155" s="148">
        <f t="shared" si="17"/>
        <v>0</v>
      </c>
      <c r="G155" s="149">
        <f t="shared" si="18"/>
        <v>0</v>
      </c>
    </row>
    <row r="156" spans="1:7" ht="12.75" hidden="1">
      <c r="A156" s="22">
        <f t="shared" si="19"/>
        <v>136</v>
      </c>
      <c r="B156" s="148">
        <f t="shared" si="20"/>
        <v>0</v>
      </c>
      <c r="C156" s="148">
        <f t="shared" si="14"/>
        <v>0</v>
      </c>
      <c r="D156" s="148">
        <f t="shared" si="15"/>
        <v>0</v>
      </c>
      <c r="E156" s="348">
        <f t="shared" si="16"/>
        <v>0</v>
      </c>
      <c r="F156" s="148">
        <f t="shared" si="17"/>
        <v>0</v>
      </c>
      <c r="G156" s="149">
        <f t="shared" si="18"/>
        <v>0</v>
      </c>
    </row>
    <row r="157" spans="1:7" ht="12.75" hidden="1">
      <c r="A157" s="22">
        <f t="shared" si="19"/>
        <v>137</v>
      </c>
      <c r="B157" s="148">
        <f t="shared" si="20"/>
        <v>0</v>
      </c>
      <c r="C157" s="148">
        <f t="shared" si="14"/>
        <v>0</v>
      </c>
      <c r="D157" s="148">
        <f t="shared" si="15"/>
        <v>0</v>
      </c>
      <c r="E157" s="348">
        <f t="shared" si="16"/>
        <v>0</v>
      </c>
      <c r="F157" s="148">
        <f t="shared" si="17"/>
        <v>0</v>
      </c>
      <c r="G157" s="149">
        <f t="shared" si="18"/>
        <v>0</v>
      </c>
    </row>
    <row r="158" spans="1:7" ht="12.75" hidden="1">
      <c r="A158" s="22">
        <f t="shared" si="19"/>
        <v>138</v>
      </c>
      <c r="B158" s="148">
        <f t="shared" si="20"/>
        <v>0</v>
      </c>
      <c r="C158" s="148">
        <f t="shared" si="14"/>
        <v>0</v>
      </c>
      <c r="D158" s="148">
        <f t="shared" si="15"/>
        <v>0</v>
      </c>
      <c r="E158" s="348">
        <f t="shared" si="16"/>
        <v>0</v>
      </c>
      <c r="F158" s="148">
        <f t="shared" si="17"/>
        <v>0</v>
      </c>
      <c r="G158" s="149">
        <f t="shared" si="18"/>
        <v>0</v>
      </c>
    </row>
    <row r="159" spans="1:7" ht="12.75" hidden="1">
      <c r="A159" s="22">
        <f t="shared" si="19"/>
        <v>139</v>
      </c>
      <c r="B159" s="148">
        <f t="shared" si="20"/>
        <v>0</v>
      </c>
      <c r="C159" s="148">
        <f t="shared" si="14"/>
        <v>0</v>
      </c>
      <c r="D159" s="148">
        <f t="shared" si="15"/>
        <v>0</v>
      </c>
      <c r="E159" s="348">
        <f t="shared" si="16"/>
        <v>0</v>
      </c>
      <c r="F159" s="148">
        <f t="shared" si="17"/>
        <v>0</v>
      </c>
      <c r="G159" s="149">
        <f t="shared" si="18"/>
        <v>0</v>
      </c>
    </row>
    <row r="160" spans="1:7" ht="12.75" hidden="1">
      <c r="A160" s="22">
        <f t="shared" si="19"/>
        <v>140</v>
      </c>
      <c r="B160" s="148">
        <f t="shared" si="20"/>
        <v>0</v>
      </c>
      <c r="C160" s="148">
        <f t="shared" si="14"/>
        <v>0</v>
      </c>
      <c r="D160" s="148">
        <f t="shared" si="15"/>
        <v>0</v>
      </c>
      <c r="E160" s="348">
        <f t="shared" si="16"/>
        <v>0</v>
      </c>
      <c r="F160" s="148">
        <f t="shared" si="17"/>
        <v>0</v>
      </c>
      <c r="G160" s="149">
        <f t="shared" si="18"/>
        <v>0</v>
      </c>
    </row>
    <row r="161" spans="1:7" ht="12.75" hidden="1">
      <c r="A161" s="22">
        <f t="shared" si="19"/>
        <v>141</v>
      </c>
      <c r="B161" s="148">
        <f t="shared" si="20"/>
        <v>0</v>
      </c>
      <c r="C161" s="148">
        <f t="shared" si="14"/>
        <v>0</v>
      </c>
      <c r="D161" s="148">
        <f t="shared" si="15"/>
        <v>0</v>
      </c>
      <c r="E161" s="348">
        <f t="shared" si="16"/>
        <v>0</v>
      </c>
      <c r="F161" s="148">
        <f t="shared" si="17"/>
        <v>0</v>
      </c>
      <c r="G161" s="149">
        <f t="shared" si="18"/>
        <v>0</v>
      </c>
    </row>
    <row r="162" spans="1:7" ht="12.75" hidden="1">
      <c r="A162" s="22">
        <f t="shared" si="19"/>
        <v>142</v>
      </c>
      <c r="B162" s="148">
        <f t="shared" si="20"/>
        <v>0</v>
      </c>
      <c r="C162" s="148">
        <f t="shared" si="14"/>
        <v>0</v>
      </c>
      <c r="D162" s="148">
        <f t="shared" si="15"/>
        <v>0</v>
      </c>
      <c r="E162" s="348">
        <f t="shared" si="16"/>
        <v>0</v>
      </c>
      <c r="F162" s="148">
        <f t="shared" si="17"/>
        <v>0</v>
      </c>
      <c r="G162" s="149">
        <f t="shared" si="18"/>
        <v>0</v>
      </c>
    </row>
    <row r="163" spans="1:7" ht="12.75" hidden="1">
      <c r="A163" s="22">
        <f t="shared" si="19"/>
        <v>143</v>
      </c>
      <c r="B163" s="148">
        <f t="shared" si="20"/>
        <v>0</v>
      </c>
      <c r="C163" s="148">
        <f t="shared" si="14"/>
        <v>0</v>
      </c>
      <c r="D163" s="148">
        <f t="shared" si="15"/>
        <v>0</v>
      </c>
      <c r="E163" s="348">
        <f t="shared" si="16"/>
        <v>0</v>
      </c>
      <c r="F163" s="148">
        <f t="shared" si="17"/>
        <v>0</v>
      </c>
      <c r="G163" s="149">
        <f t="shared" si="18"/>
        <v>0</v>
      </c>
    </row>
    <row r="164" spans="1:7" ht="12.75" hidden="1">
      <c r="A164" s="22">
        <f t="shared" si="19"/>
        <v>144</v>
      </c>
      <c r="B164" s="148">
        <f t="shared" si="20"/>
        <v>0</v>
      </c>
      <c r="C164" s="148">
        <f t="shared" si="14"/>
        <v>0</v>
      </c>
      <c r="D164" s="148">
        <f t="shared" si="15"/>
        <v>0</v>
      </c>
      <c r="E164" s="348">
        <f t="shared" si="16"/>
        <v>0</v>
      </c>
      <c r="F164" s="148">
        <f t="shared" si="17"/>
        <v>0</v>
      </c>
      <c r="G164" s="149">
        <f t="shared" si="18"/>
        <v>0</v>
      </c>
    </row>
    <row r="165" spans="1:7" ht="12.75" hidden="1">
      <c r="A165" s="22">
        <f t="shared" si="19"/>
        <v>145</v>
      </c>
      <c r="B165" s="148">
        <f t="shared" si="20"/>
        <v>0</v>
      </c>
      <c r="C165" s="148">
        <f t="shared" si="14"/>
        <v>0</v>
      </c>
      <c r="D165" s="148">
        <f t="shared" si="15"/>
        <v>0</v>
      </c>
      <c r="E165" s="348">
        <f t="shared" si="16"/>
        <v>0</v>
      </c>
      <c r="F165" s="148">
        <f t="shared" si="17"/>
        <v>0</v>
      </c>
      <c r="G165" s="149">
        <f t="shared" si="18"/>
        <v>0</v>
      </c>
    </row>
    <row r="166" spans="1:7" ht="12.75" hidden="1">
      <c r="A166" s="22">
        <f t="shared" si="19"/>
        <v>146</v>
      </c>
      <c r="B166" s="148">
        <f t="shared" si="20"/>
        <v>0</v>
      </c>
      <c r="C166" s="148">
        <f t="shared" si="14"/>
        <v>0</v>
      </c>
      <c r="D166" s="148">
        <f t="shared" si="15"/>
        <v>0</v>
      </c>
      <c r="E166" s="348">
        <f t="shared" si="16"/>
        <v>0</v>
      </c>
      <c r="F166" s="148">
        <f t="shared" si="17"/>
        <v>0</v>
      </c>
      <c r="G166" s="149">
        <f t="shared" si="18"/>
        <v>0</v>
      </c>
    </row>
    <row r="167" spans="1:7" ht="12.75" hidden="1">
      <c r="A167" s="22">
        <f t="shared" si="19"/>
        <v>147</v>
      </c>
      <c r="B167" s="148">
        <f t="shared" si="20"/>
        <v>0</v>
      </c>
      <c r="C167" s="148">
        <f t="shared" si="14"/>
        <v>0</v>
      </c>
      <c r="D167" s="148">
        <f t="shared" si="15"/>
        <v>0</v>
      </c>
      <c r="E167" s="348">
        <f t="shared" si="16"/>
        <v>0</v>
      </c>
      <c r="F167" s="148">
        <f t="shared" si="17"/>
        <v>0</v>
      </c>
      <c r="G167" s="149">
        <f t="shared" si="18"/>
        <v>0</v>
      </c>
    </row>
    <row r="168" spans="1:7" ht="12.75" hidden="1">
      <c r="A168" s="22">
        <f t="shared" si="19"/>
        <v>148</v>
      </c>
      <c r="B168" s="148">
        <f t="shared" si="20"/>
        <v>0</v>
      </c>
      <c r="C168" s="148">
        <f t="shared" si="14"/>
        <v>0</v>
      </c>
      <c r="D168" s="148">
        <f t="shared" si="15"/>
        <v>0</v>
      </c>
      <c r="E168" s="348">
        <f t="shared" si="16"/>
        <v>0</v>
      </c>
      <c r="F168" s="148">
        <f t="shared" si="17"/>
        <v>0</v>
      </c>
      <c r="G168" s="149">
        <f t="shared" si="18"/>
        <v>0</v>
      </c>
    </row>
    <row r="169" spans="1:7" ht="12.75" hidden="1">
      <c r="A169" s="22">
        <f t="shared" si="19"/>
        <v>149</v>
      </c>
      <c r="B169" s="148">
        <f t="shared" si="20"/>
        <v>0</v>
      </c>
      <c r="C169" s="148">
        <f t="shared" si="14"/>
        <v>0</v>
      </c>
      <c r="D169" s="148">
        <f t="shared" si="15"/>
        <v>0</v>
      </c>
      <c r="E169" s="348">
        <f t="shared" si="16"/>
        <v>0</v>
      </c>
      <c r="F169" s="148">
        <f t="shared" si="17"/>
        <v>0</v>
      </c>
      <c r="G169" s="149">
        <f t="shared" si="18"/>
        <v>0</v>
      </c>
    </row>
    <row r="170" spans="1:7" ht="12.75" hidden="1">
      <c r="A170" s="22">
        <f t="shared" si="19"/>
        <v>150</v>
      </c>
      <c r="B170" s="148">
        <f t="shared" si="20"/>
        <v>0</v>
      </c>
      <c r="C170" s="148">
        <f t="shared" si="14"/>
        <v>0</v>
      </c>
      <c r="D170" s="148">
        <f t="shared" si="15"/>
        <v>0</v>
      </c>
      <c r="E170" s="348">
        <f t="shared" si="16"/>
        <v>0</v>
      </c>
      <c r="F170" s="148">
        <f t="shared" si="17"/>
        <v>0</v>
      </c>
      <c r="G170" s="149">
        <f t="shared" si="18"/>
        <v>0</v>
      </c>
    </row>
    <row r="171" spans="1:7" ht="12.75" hidden="1">
      <c r="A171" s="22">
        <f t="shared" si="19"/>
        <v>151</v>
      </c>
      <c r="B171" s="148">
        <f t="shared" si="20"/>
        <v>0</v>
      </c>
      <c r="C171" s="148">
        <f t="shared" si="14"/>
        <v>0</v>
      </c>
      <c r="D171" s="148">
        <f t="shared" si="15"/>
        <v>0</v>
      </c>
      <c r="E171" s="348">
        <f t="shared" si="16"/>
        <v>0</v>
      </c>
      <c r="F171" s="148">
        <f t="shared" si="17"/>
        <v>0</v>
      </c>
      <c r="G171" s="149">
        <f t="shared" si="18"/>
        <v>0</v>
      </c>
    </row>
    <row r="172" spans="1:7" ht="12.75" hidden="1">
      <c r="A172" s="22">
        <f t="shared" si="19"/>
        <v>152</v>
      </c>
      <c r="B172" s="148">
        <f t="shared" si="20"/>
        <v>0</v>
      </c>
      <c r="C172" s="148">
        <f t="shared" si="14"/>
        <v>0</v>
      </c>
      <c r="D172" s="148">
        <f t="shared" si="15"/>
        <v>0</v>
      </c>
      <c r="E172" s="348">
        <f t="shared" si="16"/>
        <v>0</v>
      </c>
      <c r="F172" s="148">
        <f t="shared" si="17"/>
        <v>0</v>
      </c>
      <c r="G172" s="149">
        <f t="shared" si="18"/>
        <v>0</v>
      </c>
    </row>
    <row r="173" spans="1:7" ht="12.75" hidden="1">
      <c r="A173" s="22">
        <f t="shared" si="19"/>
        <v>153</v>
      </c>
      <c r="B173" s="148">
        <f t="shared" si="20"/>
        <v>0</v>
      </c>
      <c r="C173" s="148">
        <f t="shared" si="14"/>
        <v>0</v>
      </c>
      <c r="D173" s="148">
        <f t="shared" si="15"/>
        <v>0</v>
      </c>
      <c r="E173" s="348">
        <f t="shared" si="16"/>
        <v>0</v>
      </c>
      <c r="F173" s="148">
        <f t="shared" si="17"/>
        <v>0</v>
      </c>
      <c r="G173" s="149">
        <f t="shared" si="18"/>
        <v>0</v>
      </c>
    </row>
    <row r="174" spans="1:7" ht="12.75" hidden="1">
      <c r="A174" s="22">
        <f t="shared" si="19"/>
        <v>154</v>
      </c>
      <c r="B174" s="148">
        <f t="shared" si="20"/>
        <v>0</v>
      </c>
      <c r="C174" s="148">
        <f t="shared" si="14"/>
        <v>0</v>
      </c>
      <c r="D174" s="148">
        <f t="shared" si="15"/>
        <v>0</v>
      </c>
      <c r="E174" s="348">
        <f t="shared" si="16"/>
        <v>0</v>
      </c>
      <c r="F174" s="148">
        <f t="shared" si="17"/>
        <v>0</v>
      </c>
      <c r="G174" s="149">
        <f t="shared" si="18"/>
        <v>0</v>
      </c>
    </row>
    <row r="175" spans="1:7" ht="12.75" hidden="1">
      <c r="A175" s="22">
        <f t="shared" si="19"/>
        <v>155</v>
      </c>
      <c r="B175" s="148">
        <f t="shared" si="20"/>
        <v>0</v>
      </c>
      <c r="C175" s="148">
        <f t="shared" si="14"/>
        <v>0</v>
      </c>
      <c r="D175" s="148">
        <f t="shared" si="15"/>
        <v>0</v>
      </c>
      <c r="E175" s="348">
        <f t="shared" si="16"/>
        <v>0</v>
      </c>
      <c r="F175" s="148">
        <f t="shared" si="17"/>
        <v>0</v>
      </c>
      <c r="G175" s="149">
        <f t="shared" si="18"/>
        <v>0</v>
      </c>
    </row>
    <row r="176" spans="1:7" ht="12.75" hidden="1">
      <c r="A176" s="22">
        <f t="shared" si="19"/>
        <v>156</v>
      </c>
      <c r="B176" s="148">
        <f t="shared" si="20"/>
        <v>0</v>
      </c>
      <c r="C176" s="148">
        <f t="shared" si="14"/>
        <v>0</v>
      </c>
      <c r="D176" s="148">
        <f t="shared" si="15"/>
        <v>0</v>
      </c>
      <c r="E176" s="348">
        <f t="shared" si="16"/>
        <v>0</v>
      </c>
      <c r="F176" s="148">
        <f t="shared" si="17"/>
        <v>0</v>
      </c>
      <c r="G176" s="149">
        <f t="shared" si="18"/>
        <v>0</v>
      </c>
    </row>
    <row r="177" spans="1:7" ht="12.75" hidden="1">
      <c r="A177" s="22">
        <f t="shared" si="19"/>
        <v>157</v>
      </c>
      <c r="B177" s="148">
        <f t="shared" si="20"/>
        <v>0</v>
      </c>
      <c r="C177" s="148">
        <f t="shared" si="14"/>
        <v>0</v>
      </c>
      <c r="D177" s="148">
        <f t="shared" si="15"/>
        <v>0</v>
      </c>
      <c r="E177" s="348">
        <f t="shared" si="16"/>
        <v>0</v>
      </c>
      <c r="F177" s="148">
        <f t="shared" si="17"/>
        <v>0</v>
      </c>
      <c r="G177" s="149">
        <f t="shared" si="18"/>
        <v>0</v>
      </c>
    </row>
    <row r="178" spans="1:7" ht="12.75" hidden="1">
      <c r="A178" s="22">
        <f t="shared" si="19"/>
        <v>158</v>
      </c>
      <c r="B178" s="148">
        <f t="shared" si="20"/>
        <v>0</v>
      </c>
      <c r="C178" s="148">
        <f t="shared" si="14"/>
        <v>0</v>
      </c>
      <c r="D178" s="148">
        <f t="shared" si="15"/>
        <v>0</v>
      </c>
      <c r="E178" s="348">
        <f t="shared" si="16"/>
        <v>0</v>
      </c>
      <c r="F178" s="148">
        <f t="shared" si="17"/>
        <v>0</v>
      </c>
      <c r="G178" s="149">
        <f t="shared" si="18"/>
        <v>0</v>
      </c>
    </row>
    <row r="179" spans="1:7" ht="12.75" hidden="1">
      <c r="A179" s="22">
        <f t="shared" si="19"/>
        <v>159</v>
      </c>
      <c r="B179" s="148">
        <f t="shared" si="20"/>
        <v>0</v>
      </c>
      <c r="C179" s="148">
        <f t="shared" si="14"/>
        <v>0</v>
      </c>
      <c r="D179" s="148">
        <f t="shared" si="15"/>
        <v>0</v>
      </c>
      <c r="E179" s="348">
        <f t="shared" si="16"/>
        <v>0</v>
      </c>
      <c r="F179" s="148">
        <f t="shared" si="17"/>
        <v>0</v>
      </c>
      <c r="G179" s="149">
        <f t="shared" si="18"/>
        <v>0</v>
      </c>
    </row>
    <row r="180" spans="1:7" ht="12.75" hidden="1">
      <c r="A180" s="22">
        <f t="shared" si="19"/>
        <v>160</v>
      </c>
      <c r="B180" s="148">
        <f t="shared" si="20"/>
        <v>0</v>
      </c>
      <c r="C180" s="148">
        <f t="shared" si="14"/>
        <v>0</v>
      </c>
      <c r="D180" s="148">
        <f t="shared" si="15"/>
        <v>0</v>
      </c>
      <c r="E180" s="348">
        <f t="shared" si="16"/>
        <v>0</v>
      </c>
      <c r="F180" s="148">
        <f t="shared" si="17"/>
        <v>0</v>
      </c>
      <c r="G180" s="149">
        <f t="shared" si="18"/>
        <v>0</v>
      </c>
    </row>
    <row r="181" spans="1:7" ht="12.75" hidden="1">
      <c r="A181" s="22">
        <f t="shared" si="19"/>
        <v>161</v>
      </c>
      <c r="B181" s="148">
        <f t="shared" si="20"/>
        <v>0</v>
      </c>
      <c r="C181" s="148">
        <f t="shared" si="14"/>
        <v>0</v>
      </c>
      <c r="D181" s="148">
        <f t="shared" si="15"/>
        <v>0</v>
      </c>
      <c r="E181" s="348">
        <f t="shared" si="16"/>
        <v>0</v>
      </c>
      <c r="F181" s="148">
        <f t="shared" si="17"/>
        <v>0</v>
      </c>
      <c r="G181" s="149">
        <f t="shared" si="18"/>
        <v>0</v>
      </c>
    </row>
    <row r="182" spans="1:7" ht="12.75" hidden="1">
      <c r="A182" s="22">
        <f t="shared" si="19"/>
        <v>162</v>
      </c>
      <c r="B182" s="148">
        <f t="shared" si="20"/>
        <v>0</v>
      </c>
      <c r="C182" s="148">
        <f t="shared" si="14"/>
        <v>0</v>
      </c>
      <c r="D182" s="148">
        <f t="shared" si="15"/>
        <v>0</v>
      </c>
      <c r="E182" s="348">
        <f t="shared" si="16"/>
        <v>0</v>
      </c>
      <c r="F182" s="148">
        <f t="shared" si="17"/>
        <v>0</v>
      </c>
      <c r="G182" s="149">
        <f t="shared" si="18"/>
        <v>0</v>
      </c>
    </row>
    <row r="183" spans="1:7" ht="12.75" hidden="1">
      <c r="A183" s="22">
        <f t="shared" si="19"/>
        <v>163</v>
      </c>
      <c r="B183" s="148">
        <f t="shared" si="20"/>
        <v>0</v>
      </c>
      <c r="C183" s="148">
        <f t="shared" si="14"/>
        <v>0</v>
      </c>
      <c r="D183" s="148">
        <f t="shared" si="15"/>
        <v>0</v>
      </c>
      <c r="E183" s="348">
        <f t="shared" si="16"/>
        <v>0</v>
      </c>
      <c r="F183" s="148">
        <f t="shared" si="17"/>
        <v>0</v>
      </c>
      <c r="G183" s="149">
        <f t="shared" si="18"/>
        <v>0</v>
      </c>
    </row>
    <row r="184" spans="1:7" ht="12.75" hidden="1">
      <c r="A184" s="22">
        <f t="shared" si="19"/>
        <v>164</v>
      </c>
      <c r="B184" s="148">
        <f t="shared" si="20"/>
        <v>0</v>
      </c>
      <c r="C184" s="148">
        <f t="shared" si="14"/>
        <v>0</v>
      </c>
      <c r="D184" s="148">
        <f t="shared" si="15"/>
        <v>0</v>
      </c>
      <c r="E184" s="348">
        <f t="shared" si="16"/>
        <v>0</v>
      </c>
      <c r="F184" s="148">
        <f t="shared" si="17"/>
        <v>0</v>
      </c>
      <c r="G184" s="149">
        <f t="shared" si="18"/>
        <v>0</v>
      </c>
    </row>
    <row r="185" spans="1:7" ht="12.75" hidden="1">
      <c r="A185" s="22">
        <f t="shared" si="19"/>
        <v>165</v>
      </c>
      <c r="B185" s="148">
        <f t="shared" si="20"/>
        <v>0</v>
      </c>
      <c r="C185" s="148">
        <f t="shared" si="14"/>
        <v>0</v>
      </c>
      <c r="D185" s="148">
        <f t="shared" si="15"/>
        <v>0</v>
      </c>
      <c r="E185" s="348">
        <f t="shared" si="16"/>
        <v>0</v>
      </c>
      <c r="F185" s="148">
        <f t="shared" si="17"/>
        <v>0</v>
      </c>
      <c r="G185" s="149">
        <f t="shared" si="18"/>
        <v>0</v>
      </c>
    </row>
    <row r="186" spans="1:7" ht="12.75" hidden="1">
      <c r="A186" s="22">
        <f t="shared" si="19"/>
        <v>166</v>
      </c>
      <c r="B186" s="148">
        <f t="shared" si="20"/>
        <v>0</v>
      </c>
      <c r="C186" s="148">
        <f t="shared" si="14"/>
        <v>0</v>
      </c>
      <c r="D186" s="148">
        <f t="shared" si="15"/>
        <v>0</v>
      </c>
      <c r="E186" s="348">
        <f t="shared" si="16"/>
        <v>0</v>
      </c>
      <c r="F186" s="148">
        <f t="shared" si="17"/>
        <v>0</v>
      </c>
      <c r="G186" s="149">
        <f t="shared" si="18"/>
        <v>0</v>
      </c>
    </row>
    <row r="187" spans="1:7" ht="12.75" hidden="1">
      <c r="A187" s="22">
        <f t="shared" si="19"/>
        <v>167</v>
      </c>
      <c r="B187" s="148">
        <f t="shared" si="20"/>
        <v>0</v>
      </c>
      <c r="C187" s="148">
        <f t="shared" si="14"/>
        <v>0</v>
      </c>
      <c r="D187" s="148">
        <f t="shared" si="15"/>
        <v>0</v>
      </c>
      <c r="E187" s="348">
        <f t="shared" si="16"/>
        <v>0</v>
      </c>
      <c r="F187" s="148">
        <f t="shared" si="17"/>
        <v>0</v>
      </c>
      <c r="G187" s="149">
        <f t="shared" si="18"/>
        <v>0</v>
      </c>
    </row>
    <row r="188" spans="1:7" ht="12.75" hidden="1">
      <c r="A188" s="22">
        <f t="shared" si="19"/>
        <v>168</v>
      </c>
      <c r="B188" s="148">
        <f t="shared" si="20"/>
        <v>0</v>
      </c>
      <c r="C188" s="148">
        <f t="shared" si="14"/>
        <v>0</v>
      </c>
      <c r="D188" s="148">
        <f t="shared" si="15"/>
        <v>0</v>
      </c>
      <c r="E188" s="348">
        <f t="shared" si="16"/>
        <v>0</v>
      </c>
      <c r="F188" s="148">
        <f t="shared" si="17"/>
        <v>0</v>
      </c>
      <c r="G188" s="149">
        <f t="shared" si="18"/>
        <v>0</v>
      </c>
    </row>
    <row r="189" spans="1:7" ht="12.75" hidden="1">
      <c r="A189" s="22">
        <f t="shared" si="19"/>
        <v>169</v>
      </c>
      <c r="B189" s="148">
        <f t="shared" si="20"/>
        <v>0</v>
      </c>
      <c r="C189" s="148">
        <f t="shared" si="14"/>
        <v>0</v>
      </c>
      <c r="D189" s="148">
        <f t="shared" si="15"/>
        <v>0</v>
      </c>
      <c r="E189" s="348">
        <f t="shared" si="16"/>
        <v>0</v>
      </c>
      <c r="F189" s="148">
        <f t="shared" si="17"/>
        <v>0</v>
      </c>
      <c r="G189" s="149">
        <f t="shared" si="18"/>
        <v>0</v>
      </c>
    </row>
    <row r="190" spans="1:7" ht="12.75" hidden="1">
      <c r="A190" s="22">
        <f t="shared" si="19"/>
        <v>170</v>
      </c>
      <c r="B190" s="148">
        <f t="shared" si="20"/>
        <v>0</v>
      </c>
      <c r="C190" s="148">
        <f t="shared" si="14"/>
        <v>0</v>
      </c>
      <c r="D190" s="148">
        <f t="shared" si="15"/>
        <v>0</v>
      </c>
      <c r="E190" s="348">
        <f t="shared" si="16"/>
        <v>0</v>
      </c>
      <c r="F190" s="148">
        <f t="shared" si="17"/>
        <v>0</v>
      </c>
      <c r="G190" s="149">
        <f t="shared" si="18"/>
        <v>0</v>
      </c>
    </row>
    <row r="191" spans="1:7" ht="12.75" hidden="1">
      <c r="A191" s="22">
        <f t="shared" si="19"/>
        <v>171</v>
      </c>
      <c r="B191" s="148">
        <f t="shared" si="20"/>
        <v>0</v>
      </c>
      <c r="C191" s="148">
        <f t="shared" si="14"/>
        <v>0</v>
      </c>
      <c r="D191" s="148">
        <f t="shared" si="15"/>
        <v>0</v>
      </c>
      <c r="E191" s="348">
        <f t="shared" si="16"/>
        <v>0</v>
      </c>
      <c r="F191" s="148">
        <f t="shared" si="17"/>
        <v>0</v>
      </c>
      <c r="G191" s="149">
        <f t="shared" si="18"/>
        <v>0</v>
      </c>
    </row>
    <row r="192" spans="1:7" ht="12.75" hidden="1">
      <c r="A192" s="22">
        <f t="shared" si="19"/>
        <v>172</v>
      </c>
      <c r="B192" s="148">
        <f t="shared" si="20"/>
        <v>0</v>
      </c>
      <c r="C192" s="148">
        <f t="shared" si="14"/>
        <v>0</v>
      </c>
      <c r="D192" s="148">
        <f t="shared" si="15"/>
        <v>0</v>
      </c>
      <c r="E192" s="348">
        <f t="shared" si="16"/>
        <v>0</v>
      </c>
      <c r="F192" s="148">
        <f t="shared" si="17"/>
        <v>0</v>
      </c>
      <c r="G192" s="149">
        <f t="shared" si="18"/>
        <v>0</v>
      </c>
    </row>
    <row r="193" spans="1:7" ht="12.75" hidden="1">
      <c r="A193" s="22">
        <f t="shared" si="19"/>
        <v>173</v>
      </c>
      <c r="B193" s="148">
        <f t="shared" si="20"/>
        <v>0</v>
      </c>
      <c r="C193" s="148">
        <f t="shared" si="14"/>
        <v>0</v>
      </c>
      <c r="D193" s="148">
        <f t="shared" si="15"/>
        <v>0</v>
      </c>
      <c r="E193" s="348">
        <f t="shared" si="16"/>
        <v>0</v>
      </c>
      <c r="F193" s="148">
        <f t="shared" si="17"/>
        <v>0</v>
      </c>
      <c r="G193" s="149">
        <f t="shared" si="18"/>
        <v>0</v>
      </c>
    </row>
    <row r="194" spans="1:7" ht="12.75" hidden="1">
      <c r="A194" s="22">
        <f t="shared" si="19"/>
        <v>174</v>
      </c>
      <c r="B194" s="148">
        <f t="shared" si="20"/>
        <v>0</v>
      </c>
      <c r="C194" s="148">
        <f t="shared" si="14"/>
        <v>0</v>
      </c>
      <c r="D194" s="148">
        <f t="shared" si="15"/>
        <v>0</v>
      </c>
      <c r="E194" s="348">
        <f t="shared" si="16"/>
        <v>0</v>
      </c>
      <c r="F194" s="148">
        <f t="shared" si="17"/>
        <v>0</v>
      </c>
      <c r="G194" s="149">
        <f t="shared" si="18"/>
        <v>0</v>
      </c>
    </row>
    <row r="195" spans="1:7" ht="12.75" hidden="1">
      <c r="A195" s="22">
        <f t="shared" si="19"/>
        <v>175</v>
      </c>
      <c r="B195" s="148">
        <f t="shared" si="20"/>
        <v>0</v>
      </c>
      <c r="C195" s="148">
        <f t="shared" si="14"/>
        <v>0</v>
      </c>
      <c r="D195" s="148">
        <f t="shared" si="15"/>
        <v>0</v>
      </c>
      <c r="E195" s="348">
        <f t="shared" si="16"/>
        <v>0</v>
      </c>
      <c r="F195" s="148">
        <f t="shared" si="17"/>
        <v>0</v>
      </c>
      <c r="G195" s="149">
        <f t="shared" si="18"/>
        <v>0</v>
      </c>
    </row>
    <row r="196" spans="1:7" ht="12.75" hidden="1">
      <c r="A196" s="22">
        <f t="shared" si="19"/>
        <v>176</v>
      </c>
      <c r="B196" s="148">
        <f t="shared" si="20"/>
        <v>0</v>
      </c>
      <c r="C196" s="148">
        <f t="shared" si="14"/>
        <v>0</v>
      </c>
      <c r="D196" s="148">
        <f t="shared" si="15"/>
        <v>0</v>
      </c>
      <c r="E196" s="348">
        <f t="shared" si="16"/>
        <v>0</v>
      </c>
      <c r="F196" s="148">
        <f t="shared" si="17"/>
        <v>0</v>
      </c>
      <c r="G196" s="149">
        <f t="shared" si="18"/>
        <v>0</v>
      </c>
    </row>
    <row r="197" spans="1:7" ht="12.75" hidden="1">
      <c r="A197" s="22">
        <f t="shared" si="19"/>
        <v>177</v>
      </c>
      <c r="B197" s="148">
        <f t="shared" si="20"/>
        <v>0</v>
      </c>
      <c r="C197" s="148">
        <f t="shared" si="14"/>
        <v>0</v>
      </c>
      <c r="D197" s="148">
        <f t="shared" si="15"/>
        <v>0</v>
      </c>
      <c r="E197" s="348">
        <f t="shared" si="16"/>
        <v>0</v>
      </c>
      <c r="F197" s="148">
        <f t="shared" si="17"/>
        <v>0</v>
      </c>
      <c r="G197" s="149">
        <f t="shared" si="18"/>
        <v>0</v>
      </c>
    </row>
    <row r="198" spans="1:7" ht="12.75" hidden="1">
      <c r="A198" s="22">
        <f t="shared" si="19"/>
        <v>178</v>
      </c>
      <c r="B198" s="148">
        <f t="shared" si="20"/>
        <v>0</v>
      </c>
      <c r="C198" s="148">
        <f t="shared" si="14"/>
        <v>0</v>
      </c>
      <c r="D198" s="148">
        <f t="shared" si="15"/>
        <v>0</v>
      </c>
      <c r="E198" s="348">
        <f t="shared" si="16"/>
        <v>0</v>
      </c>
      <c r="F198" s="148">
        <f t="shared" si="17"/>
        <v>0</v>
      </c>
      <c r="G198" s="149">
        <f t="shared" si="18"/>
        <v>0</v>
      </c>
    </row>
    <row r="199" spans="1:7" ht="12.75" hidden="1">
      <c r="A199" s="22">
        <f t="shared" si="19"/>
        <v>179</v>
      </c>
      <c r="B199" s="148">
        <f t="shared" si="20"/>
        <v>0</v>
      </c>
      <c r="C199" s="148">
        <f t="shared" si="14"/>
        <v>0</v>
      </c>
      <c r="D199" s="148">
        <f t="shared" si="15"/>
        <v>0</v>
      </c>
      <c r="E199" s="348">
        <f t="shared" si="16"/>
        <v>0</v>
      </c>
      <c r="F199" s="148">
        <f t="shared" si="17"/>
        <v>0</v>
      </c>
      <c r="G199" s="149">
        <f t="shared" si="18"/>
        <v>0</v>
      </c>
    </row>
    <row r="200" spans="1:7" ht="12.75" hidden="1">
      <c r="A200" s="22">
        <f t="shared" si="19"/>
        <v>180</v>
      </c>
      <c r="B200" s="148">
        <f t="shared" si="20"/>
        <v>0</v>
      </c>
      <c r="C200" s="148">
        <f t="shared" si="14"/>
        <v>0</v>
      </c>
      <c r="D200" s="148">
        <f t="shared" si="15"/>
        <v>0</v>
      </c>
      <c r="E200" s="348">
        <f t="shared" si="16"/>
        <v>0</v>
      </c>
      <c r="F200" s="148">
        <f t="shared" si="17"/>
        <v>0</v>
      </c>
      <c r="G200" s="149">
        <f t="shared" si="18"/>
        <v>0</v>
      </c>
    </row>
    <row r="201" spans="1:7" ht="12.75" hidden="1">
      <c r="A201" s="22">
        <f t="shared" si="19"/>
        <v>181</v>
      </c>
      <c r="B201" s="148">
        <f t="shared" si="20"/>
        <v>0</v>
      </c>
      <c r="C201" s="148">
        <f t="shared" si="14"/>
        <v>0</v>
      </c>
      <c r="D201" s="148">
        <f t="shared" si="15"/>
        <v>0</v>
      </c>
      <c r="E201" s="348">
        <f t="shared" si="16"/>
        <v>0</v>
      </c>
      <c r="F201" s="148">
        <f t="shared" si="17"/>
        <v>0</v>
      </c>
      <c r="G201" s="149">
        <f t="shared" si="18"/>
        <v>0</v>
      </c>
    </row>
    <row r="202" spans="1:7" ht="12.75" hidden="1">
      <c r="A202" s="22">
        <f t="shared" si="19"/>
        <v>182</v>
      </c>
      <c r="B202" s="148">
        <f t="shared" si="20"/>
        <v>0</v>
      </c>
      <c r="C202" s="148">
        <f t="shared" si="14"/>
        <v>0</v>
      </c>
      <c r="D202" s="148">
        <f t="shared" si="15"/>
        <v>0</v>
      </c>
      <c r="E202" s="348">
        <f t="shared" si="16"/>
        <v>0</v>
      </c>
      <c r="F202" s="148">
        <f t="shared" si="17"/>
        <v>0</v>
      </c>
      <c r="G202" s="149">
        <f t="shared" si="18"/>
        <v>0</v>
      </c>
    </row>
    <row r="203" spans="1:7" ht="12.75" hidden="1">
      <c r="A203" s="22">
        <f t="shared" si="19"/>
        <v>183</v>
      </c>
      <c r="B203" s="148">
        <f t="shared" si="20"/>
        <v>0</v>
      </c>
      <c r="C203" s="148">
        <f t="shared" si="14"/>
        <v>0</v>
      </c>
      <c r="D203" s="148">
        <f t="shared" si="15"/>
        <v>0</v>
      </c>
      <c r="E203" s="348">
        <f t="shared" si="16"/>
        <v>0</v>
      </c>
      <c r="F203" s="148">
        <f t="shared" si="17"/>
        <v>0</v>
      </c>
      <c r="G203" s="149">
        <f t="shared" si="18"/>
        <v>0</v>
      </c>
    </row>
    <row r="204" spans="1:7" ht="12.75" hidden="1">
      <c r="A204" s="22">
        <f t="shared" si="19"/>
        <v>184</v>
      </c>
      <c r="B204" s="148">
        <f t="shared" si="20"/>
        <v>0</v>
      </c>
      <c r="C204" s="148">
        <f t="shared" si="14"/>
        <v>0</v>
      </c>
      <c r="D204" s="148">
        <f t="shared" si="15"/>
        <v>0</v>
      </c>
      <c r="E204" s="348">
        <f t="shared" si="16"/>
        <v>0</v>
      </c>
      <c r="F204" s="148">
        <f t="shared" si="17"/>
        <v>0</v>
      </c>
      <c r="G204" s="149">
        <f t="shared" si="18"/>
        <v>0</v>
      </c>
    </row>
    <row r="205" spans="1:7" ht="12.75" hidden="1">
      <c r="A205" s="22">
        <f t="shared" si="19"/>
        <v>185</v>
      </c>
      <c r="B205" s="148">
        <f t="shared" si="20"/>
        <v>0</v>
      </c>
      <c r="C205" s="148">
        <f t="shared" si="14"/>
        <v>0</v>
      </c>
      <c r="D205" s="148">
        <f t="shared" si="15"/>
        <v>0</v>
      </c>
      <c r="E205" s="348">
        <f t="shared" si="16"/>
        <v>0</v>
      </c>
      <c r="F205" s="148">
        <f t="shared" si="17"/>
        <v>0</v>
      </c>
      <c r="G205" s="149">
        <f t="shared" si="18"/>
        <v>0</v>
      </c>
    </row>
    <row r="206" spans="1:7" ht="12.75" hidden="1">
      <c r="A206" s="22">
        <f t="shared" si="19"/>
        <v>186</v>
      </c>
      <c r="B206" s="148">
        <f t="shared" si="20"/>
        <v>0</v>
      </c>
      <c r="C206" s="148">
        <f t="shared" si="14"/>
        <v>0</v>
      </c>
      <c r="D206" s="148">
        <f t="shared" si="15"/>
        <v>0</v>
      </c>
      <c r="E206" s="348">
        <f t="shared" si="16"/>
        <v>0</v>
      </c>
      <c r="F206" s="148">
        <f t="shared" si="17"/>
        <v>0</v>
      </c>
      <c r="G206" s="149">
        <f t="shared" si="18"/>
        <v>0</v>
      </c>
    </row>
    <row r="207" spans="1:7" ht="12.75" hidden="1">
      <c r="A207" s="22">
        <f t="shared" si="19"/>
        <v>187</v>
      </c>
      <c r="B207" s="148">
        <f t="shared" si="20"/>
        <v>0</v>
      </c>
      <c r="C207" s="148">
        <f t="shared" si="14"/>
        <v>0</v>
      </c>
      <c r="D207" s="148">
        <f t="shared" si="15"/>
        <v>0</v>
      </c>
      <c r="E207" s="348">
        <f t="shared" si="16"/>
        <v>0</v>
      </c>
      <c r="F207" s="148">
        <f t="shared" si="17"/>
        <v>0</v>
      </c>
      <c r="G207" s="149">
        <f t="shared" si="18"/>
        <v>0</v>
      </c>
    </row>
    <row r="208" spans="1:7" ht="12.75" hidden="1">
      <c r="A208" s="22">
        <f t="shared" si="19"/>
        <v>188</v>
      </c>
      <c r="B208" s="148">
        <f t="shared" si="20"/>
        <v>0</v>
      </c>
      <c r="C208" s="148">
        <f t="shared" si="14"/>
        <v>0</v>
      </c>
      <c r="D208" s="148">
        <f t="shared" si="15"/>
        <v>0</v>
      </c>
      <c r="E208" s="348">
        <f t="shared" si="16"/>
        <v>0</v>
      </c>
      <c r="F208" s="148">
        <f t="shared" si="17"/>
        <v>0</v>
      </c>
      <c r="G208" s="149">
        <f t="shared" si="18"/>
        <v>0</v>
      </c>
    </row>
    <row r="209" spans="1:7" ht="12.75" hidden="1">
      <c r="A209" s="22">
        <f t="shared" si="19"/>
        <v>189</v>
      </c>
      <c r="B209" s="148">
        <f t="shared" si="20"/>
        <v>0</v>
      </c>
      <c r="C209" s="148">
        <f t="shared" si="14"/>
        <v>0</v>
      </c>
      <c r="D209" s="148">
        <f t="shared" si="15"/>
        <v>0</v>
      </c>
      <c r="E209" s="348">
        <f t="shared" si="16"/>
        <v>0</v>
      </c>
      <c r="F209" s="148">
        <f t="shared" si="17"/>
        <v>0</v>
      </c>
      <c r="G209" s="149">
        <f t="shared" si="18"/>
        <v>0</v>
      </c>
    </row>
    <row r="210" spans="1:7" ht="12.75" hidden="1">
      <c r="A210" s="22">
        <f t="shared" si="19"/>
        <v>190</v>
      </c>
      <c r="B210" s="148">
        <f t="shared" si="20"/>
        <v>0</v>
      </c>
      <c r="C210" s="148">
        <f t="shared" si="14"/>
        <v>0</v>
      </c>
      <c r="D210" s="148">
        <f t="shared" si="15"/>
        <v>0</v>
      </c>
      <c r="E210" s="348">
        <f t="shared" si="16"/>
        <v>0</v>
      </c>
      <c r="F210" s="148">
        <f t="shared" si="17"/>
        <v>0</v>
      </c>
      <c r="G210" s="149">
        <f t="shared" si="18"/>
        <v>0</v>
      </c>
    </row>
    <row r="211" spans="1:7" ht="12.75" hidden="1">
      <c r="A211" s="22">
        <f t="shared" si="19"/>
        <v>191</v>
      </c>
      <c r="B211" s="148">
        <f t="shared" si="20"/>
        <v>0</v>
      </c>
      <c r="C211" s="148">
        <f t="shared" si="14"/>
        <v>0</v>
      </c>
      <c r="D211" s="148">
        <f t="shared" si="15"/>
        <v>0</v>
      </c>
      <c r="E211" s="348">
        <f t="shared" si="16"/>
        <v>0</v>
      </c>
      <c r="F211" s="148">
        <f t="shared" si="17"/>
        <v>0</v>
      </c>
      <c r="G211" s="149">
        <f t="shared" si="18"/>
        <v>0</v>
      </c>
    </row>
    <row r="212" spans="1:7" ht="12.75" hidden="1">
      <c r="A212" s="22">
        <f t="shared" si="19"/>
        <v>192</v>
      </c>
      <c r="B212" s="148">
        <f t="shared" si="20"/>
        <v>0</v>
      </c>
      <c r="C212" s="148">
        <f t="shared" si="14"/>
        <v>0</v>
      </c>
      <c r="D212" s="148">
        <f t="shared" si="15"/>
        <v>0</v>
      </c>
      <c r="E212" s="348">
        <f t="shared" si="16"/>
        <v>0</v>
      </c>
      <c r="F212" s="148">
        <f t="shared" si="17"/>
        <v>0</v>
      </c>
      <c r="G212" s="149">
        <f t="shared" si="18"/>
        <v>0</v>
      </c>
    </row>
    <row r="213" spans="1:7" ht="12.75" hidden="1">
      <c r="A213" s="22">
        <f t="shared" si="19"/>
        <v>193</v>
      </c>
      <c r="B213" s="148">
        <f t="shared" si="20"/>
        <v>0</v>
      </c>
      <c r="C213" s="148">
        <f aca="true" t="shared" si="21" ref="C213:C276">IF(A213&lt;=$D$9,$D$14*-1,0)</f>
        <v>0</v>
      </c>
      <c r="D213" s="148">
        <f aca="true" t="shared" si="22" ref="D213:D276">IF(A213&gt;$D$9,0,$D$11*-1)</f>
        <v>0</v>
      </c>
      <c r="E213" s="348">
        <f aca="true" t="shared" si="23" ref="E213:E276">B213*$D$10</f>
        <v>0</v>
      </c>
      <c r="F213" s="148">
        <f aca="true" t="shared" si="24" ref="F213:F276">D213-E213</f>
        <v>0</v>
      </c>
      <c r="G213" s="149">
        <f aca="true" t="shared" si="25" ref="G213:G276">B213-F213</f>
        <v>0</v>
      </c>
    </row>
    <row r="214" spans="1:7" ht="12.75" hidden="1">
      <c r="A214" s="22">
        <f aca="true" t="shared" si="26" ref="A214:A277">A213+1</f>
        <v>194</v>
      </c>
      <c r="B214" s="148">
        <f aca="true" t="shared" si="27" ref="B214:B277">IF(A214&lt;=$D$9,G213,0)</f>
        <v>0</v>
      </c>
      <c r="C214" s="148">
        <f t="shared" si="21"/>
        <v>0</v>
      </c>
      <c r="D214" s="148">
        <f t="shared" si="22"/>
        <v>0</v>
      </c>
      <c r="E214" s="348">
        <f t="shared" si="23"/>
        <v>0</v>
      </c>
      <c r="F214" s="148">
        <f t="shared" si="24"/>
        <v>0</v>
      </c>
      <c r="G214" s="149">
        <f t="shared" si="25"/>
        <v>0</v>
      </c>
    </row>
    <row r="215" spans="1:7" ht="12.75" hidden="1">
      <c r="A215" s="22">
        <f t="shared" si="26"/>
        <v>195</v>
      </c>
      <c r="B215" s="148">
        <f t="shared" si="27"/>
        <v>0</v>
      </c>
      <c r="C215" s="148">
        <f t="shared" si="21"/>
        <v>0</v>
      </c>
      <c r="D215" s="148">
        <f t="shared" si="22"/>
        <v>0</v>
      </c>
      <c r="E215" s="348">
        <f t="shared" si="23"/>
        <v>0</v>
      </c>
      <c r="F215" s="148">
        <f t="shared" si="24"/>
        <v>0</v>
      </c>
      <c r="G215" s="149">
        <f t="shared" si="25"/>
        <v>0</v>
      </c>
    </row>
    <row r="216" spans="1:7" ht="12.75" hidden="1">
      <c r="A216" s="22">
        <f t="shared" si="26"/>
        <v>196</v>
      </c>
      <c r="B216" s="148">
        <f t="shared" si="27"/>
        <v>0</v>
      </c>
      <c r="C216" s="148">
        <f t="shared" si="21"/>
        <v>0</v>
      </c>
      <c r="D216" s="148">
        <f t="shared" si="22"/>
        <v>0</v>
      </c>
      <c r="E216" s="348">
        <f t="shared" si="23"/>
        <v>0</v>
      </c>
      <c r="F216" s="148">
        <f t="shared" si="24"/>
        <v>0</v>
      </c>
      <c r="G216" s="149">
        <f t="shared" si="25"/>
        <v>0</v>
      </c>
    </row>
    <row r="217" spans="1:7" ht="12.75" hidden="1">
      <c r="A217" s="22">
        <f t="shared" si="26"/>
        <v>197</v>
      </c>
      <c r="B217" s="148">
        <f t="shared" si="27"/>
        <v>0</v>
      </c>
      <c r="C217" s="148">
        <f t="shared" si="21"/>
        <v>0</v>
      </c>
      <c r="D217" s="148">
        <f t="shared" si="22"/>
        <v>0</v>
      </c>
      <c r="E217" s="348">
        <f t="shared" si="23"/>
        <v>0</v>
      </c>
      <c r="F217" s="148">
        <f t="shared" si="24"/>
        <v>0</v>
      </c>
      <c r="G217" s="149">
        <f t="shared" si="25"/>
        <v>0</v>
      </c>
    </row>
    <row r="218" spans="1:7" ht="12.75" hidden="1">
      <c r="A218" s="22">
        <f t="shared" si="26"/>
        <v>198</v>
      </c>
      <c r="B218" s="148">
        <f t="shared" si="27"/>
        <v>0</v>
      </c>
      <c r="C218" s="148">
        <f t="shared" si="21"/>
        <v>0</v>
      </c>
      <c r="D218" s="148">
        <f t="shared" si="22"/>
        <v>0</v>
      </c>
      <c r="E218" s="348">
        <f t="shared" si="23"/>
        <v>0</v>
      </c>
      <c r="F218" s="148">
        <f t="shared" si="24"/>
        <v>0</v>
      </c>
      <c r="G218" s="149">
        <f t="shared" si="25"/>
        <v>0</v>
      </c>
    </row>
    <row r="219" spans="1:7" ht="12.75" hidden="1">
      <c r="A219" s="22">
        <f t="shared" si="26"/>
        <v>199</v>
      </c>
      <c r="B219" s="148">
        <f t="shared" si="27"/>
        <v>0</v>
      </c>
      <c r="C219" s="148">
        <f t="shared" si="21"/>
        <v>0</v>
      </c>
      <c r="D219" s="148">
        <f t="shared" si="22"/>
        <v>0</v>
      </c>
      <c r="E219" s="348">
        <f t="shared" si="23"/>
        <v>0</v>
      </c>
      <c r="F219" s="148">
        <f t="shared" si="24"/>
        <v>0</v>
      </c>
      <c r="G219" s="149">
        <f t="shared" si="25"/>
        <v>0</v>
      </c>
    </row>
    <row r="220" spans="1:7" ht="12.75" hidden="1">
      <c r="A220" s="22">
        <f t="shared" si="26"/>
        <v>200</v>
      </c>
      <c r="B220" s="148">
        <f t="shared" si="27"/>
        <v>0</v>
      </c>
      <c r="C220" s="148">
        <f t="shared" si="21"/>
        <v>0</v>
      </c>
      <c r="D220" s="148">
        <f t="shared" si="22"/>
        <v>0</v>
      </c>
      <c r="E220" s="348">
        <f t="shared" si="23"/>
        <v>0</v>
      </c>
      <c r="F220" s="148">
        <f t="shared" si="24"/>
        <v>0</v>
      </c>
      <c r="G220" s="149">
        <f t="shared" si="25"/>
        <v>0</v>
      </c>
    </row>
    <row r="221" spans="1:7" ht="12.75" hidden="1">
      <c r="A221" s="22">
        <f t="shared" si="26"/>
        <v>201</v>
      </c>
      <c r="B221" s="148">
        <f t="shared" si="27"/>
        <v>0</v>
      </c>
      <c r="C221" s="148">
        <f t="shared" si="21"/>
        <v>0</v>
      </c>
      <c r="D221" s="148">
        <f t="shared" si="22"/>
        <v>0</v>
      </c>
      <c r="E221" s="348">
        <f t="shared" si="23"/>
        <v>0</v>
      </c>
      <c r="F221" s="148">
        <f t="shared" si="24"/>
        <v>0</v>
      </c>
      <c r="G221" s="149">
        <f t="shared" si="25"/>
        <v>0</v>
      </c>
    </row>
    <row r="222" spans="1:7" ht="12.75" hidden="1">
      <c r="A222" s="22">
        <f t="shared" si="26"/>
        <v>202</v>
      </c>
      <c r="B222" s="148">
        <f t="shared" si="27"/>
        <v>0</v>
      </c>
      <c r="C222" s="148">
        <f t="shared" si="21"/>
        <v>0</v>
      </c>
      <c r="D222" s="148">
        <f t="shared" si="22"/>
        <v>0</v>
      </c>
      <c r="E222" s="348">
        <f t="shared" si="23"/>
        <v>0</v>
      </c>
      <c r="F222" s="148">
        <f t="shared" si="24"/>
        <v>0</v>
      </c>
      <c r="G222" s="149">
        <f t="shared" si="25"/>
        <v>0</v>
      </c>
    </row>
    <row r="223" spans="1:7" ht="12.75" hidden="1">
      <c r="A223" s="22">
        <f t="shared" si="26"/>
        <v>203</v>
      </c>
      <c r="B223" s="148">
        <f t="shared" si="27"/>
        <v>0</v>
      </c>
      <c r="C223" s="148">
        <f t="shared" si="21"/>
        <v>0</v>
      </c>
      <c r="D223" s="148">
        <f t="shared" si="22"/>
        <v>0</v>
      </c>
      <c r="E223" s="348">
        <f t="shared" si="23"/>
        <v>0</v>
      </c>
      <c r="F223" s="148">
        <f t="shared" si="24"/>
        <v>0</v>
      </c>
      <c r="G223" s="149">
        <f t="shared" si="25"/>
        <v>0</v>
      </c>
    </row>
    <row r="224" spans="1:7" ht="12.75" hidden="1">
      <c r="A224" s="22">
        <f t="shared" si="26"/>
        <v>204</v>
      </c>
      <c r="B224" s="148">
        <f t="shared" si="27"/>
        <v>0</v>
      </c>
      <c r="C224" s="148">
        <f t="shared" si="21"/>
        <v>0</v>
      </c>
      <c r="D224" s="148">
        <f t="shared" si="22"/>
        <v>0</v>
      </c>
      <c r="E224" s="348">
        <f t="shared" si="23"/>
        <v>0</v>
      </c>
      <c r="F224" s="148">
        <f t="shared" si="24"/>
        <v>0</v>
      </c>
      <c r="G224" s="149">
        <f t="shared" si="25"/>
        <v>0</v>
      </c>
    </row>
    <row r="225" spans="1:7" ht="12.75" hidden="1">
      <c r="A225" s="22">
        <f t="shared" si="26"/>
        <v>205</v>
      </c>
      <c r="B225" s="148">
        <f t="shared" si="27"/>
        <v>0</v>
      </c>
      <c r="C225" s="148">
        <f t="shared" si="21"/>
        <v>0</v>
      </c>
      <c r="D225" s="148">
        <f t="shared" si="22"/>
        <v>0</v>
      </c>
      <c r="E225" s="348">
        <f t="shared" si="23"/>
        <v>0</v>
      </c>
      <c r="F225" s="148">
        <f t="shared" si="24"/>
        <v>0</v>
      </c>
      <c r="G225" s="149">
        <f t="shared" si="25"/>
        <v>0</v>
      </c>
    </row>
    <row r="226" spans="1:7" ht="12.75" hidden="1">
      <c r="A226" s="22">
        <f t="shared" si="26"/>
        <v>206</v>
      </c>
      <c r="B226" s="148">
        <f t="shared" si="27"/>
        <v>0</v>
      </c>
      <c r="C226" s="148">
        <f t="shared" si="21"/>
        <v>0</v>
      </c>
      <c r="D226" s="148">
        <f t="shared" si="22"/>
        <v>0</v>
      </c>
      <c r="E226" s="348">
        <f t="shared" si="23"/>
        <v>0</v>
      </c>
      <c r="F226" s="148">
        <f t="shared" si="24"/>
        <v>0</v>
      </c>
      <c r="G226" s="149">
        <f t="shared" si="25"/>
        <v>0</v>
      </c>
    </row>
    <row r="227" spans="1:7" ht="12.75" hidden="1">
      <c r="A227" s="22">
        <f t="shared" si="26"/>
        <v>207</v>
      </c>
      <c r="B227" s="148">
        <f t="shared" si="27"/>
        <v>0</v>
      </c>
      <c r="C227" s="148">
        <f t="shared" si="21"/>
        <v>0</v>
      </c>
      <c r="D227" s="148">
        <f t="shared" si="22"/>
        <v>0</v>
      </c>
      <c r="E227" s="348">
        <f t="shared" si="23"/>
        <v>0</v>
      </c>
      <c r="F227" s="148">
        <f t="shared" si="24"/>
        <v>0</v>
      </c>
      <c r="G227" s="149">
        <f t="shared" si="25"/>
        <v>0</v>
      </c>
    </row>
    <row r="228" spans="1:7" ht="12.75" hidden="1">
      <c r="A228" s="22">
        <f t="shared" si="26"/>
        <v>208</v>
      </c>
      <c r="B228" s="148">
        <f t="shared" si="27"/>
        <v>0</v>
      </c>
      <c r="C228" s="148">
        <f t="shared" si="21"/>
        <v>0</v>
      </c>
      <c r="D228" s="148">
        <f t="shared" si="22"/>
        <v>0</v>
      </c>
      <c r="E228" s="348">
        <f t="shared" si="23"/>
        <v>0</v>
      </c>
      <c r="F228" s="148">
        <f t="shared" si="24"/>
        <v>0</v>
      </c>
      <c r="G228" s="149">
        <f t="shared" si="25"/>
        <v>0</v>
      </c>
    </row>
    <row r="229" spans="1:7" ht="12.75" hidden="1">
      <c r="A229" s="22">
        <f t="shared" si="26"/>
        <v>209</v>
      </c>
      <c r="B229" s="148">
        <f t="shared" si="27"/>
        <v>0</v>
      </c>
      <c r="C229" s="148">
        <f t="shared" si="21"/>
        <v>0</v>
      </c>
      <c r="D229" s="148">
        <f t="shared" si="22"/>
        <v>0</v>
      </c>
      <c r="E229" s="348">
        <f t="shared" si="23"/>
        <v>0</v>
      </c>
      <c r="F229" s="148">
        <f t="shared" si="24"/>
        <v>0</v>
      </c>
      <c r="G229" s="149">
        <f t="shared" si="25"/>
        <v>0</v>
      </c>
    </row>
    <row r="230" spans="1:7" ht="12.75" hidden="1">
      <c r="A230" s="22">
        <f t="shared" si="26"/>
        <v>210</v>
      </c>
      <c r="B230" s="148">
        <f t="shared" si="27"/>
        <v>0</v>
      </c>
      <c r="C230" s="148">
        <f t="shared" si="21"/>
        <v>0</v>
      </c>
      <c r="D230" s="148">
        <f t="shared" si="22"/>
        <v>0</v>
      </c>
      <c r="E230" s="348">
        <f t="shared" si="23"/>
        <v>0</v>
      </c>
      <c r="F230" s="148">
        <f t="shared" si="24"/>
        <v>0</v>
      </c>
      <c r="G230" s="149">
        <f t="shared" si="25"/>
        <v>0</v>
      </c>
    </row>
    <row r="231" spans="1:7" ht="12.75" hidden="1">
      <c r="A231" s="22">
        <f t="shared" si="26"/>
        <v>211</v>
      </c>
      <c r="B231" s="148">
        <f t="shared" si="27"/>
        <v>0</v>
      </c>
      <c r="C231" s="148">
        <f t="shared" si="21"/>
        <v>0</v>
      </c>
      <c r="D231" s="148">
        <f t="shared" si="22"/>
        <v>0</v>
      </c>
      <c r="E231" s="348">
        <f t="shared" si="23"/>
        <v>0</v>
      </c>
      <c r="F231" s="148">
        <f t="shared" si="24"/>
        <v>0</v>
      </c>
      <c r="G231" s="149">
        <f t="shared" si="25"/>
        <v>0</v>
      </c>
    </row>
    <row r="232" spans="1:7" ht="12.75" hidden="1">
      <c r="A232" s="22">
        <f t="shared" si="26"/>
        <v>212</v>
      </c>
      <c r="B232" s="148">
        <f t="shared" si="27"/>
        <v>0</v>
      </c>
      <c r="C232" s="148">
        <f t="shared" si="21"/>
        <v>0</v>
      </c>
      <c r="D232" s="148">
        <f t="shared" si="22"/>
        <v>0</v>
      </c>
      <c r="E232" s="348">
        <f t="shared" si="23"/>
        <v>0</v>
      </c>
      <c r="F232" s="148">
        <f t="shared" si="24"/>
        <v>0</v>
      </c>
      <c r="G232" s="149">
        <f t="shared" si="25"/>
        <v>0</v>
      </c>
    </row>
    <row r="233" spans="1:7" ht="12.75" hidden="1">
      <c r="A233" s="22">
        <f t="shared" si="26"/>
        <v>213</v>
      </c>
      <c r="B233" s="148">
        <f t="shared" si="27"/>
        <v>0</v>
      </c>
      <c r="C233" s="148">
        <f t="shared" si="21"/>
        <v>0</v>
      </c>
      <c r="D233" s="148">
        <f t="shared" si="22"/>
        <v>0</v>
      </c>
      <c r="E233" s="348">
        <f t="shared" si="23"/>
        <v>0</v>
      </c>
      <c r="F233" s="148">
        <f t="shared" si="24"/>
        <v>0</v>
      </c>
      <c r="G233" s="149">
        <f t="shared" si="25"/>
        <v>0</v>
      </c>
    </row>
    <row r="234" spans="1:7" ht="12.75" hidden="1">
      <c r="A234" s="22">
        <f t="shared" si="26"/>
        <v>214</v>
      </c>
      <c r="B234" s="148">
        <f t="shared" si="27"/>
        <v>0</v>
      </c>
      <c r="C234" s="148">
        <f t="shared" si="21"/>
        <v>0</v>
      </c>
      <c r="D234" s="148">
        <f t="shared" si="22"/>
        <v>0</v>
      </c>
      <c r="E234" s="348">
        <f t="shared" si="23"/>
        <v>0</v>
      </c>
      <c r="F234" s="148">
        <f t="shared" si="24"/>
        <v>0</v>
      </c>
      <c r="G234" s="149">
        <f t="shared" si="25"/>
        <v>0</v>
      </c>
    </row>
    <row r="235" spans="1:7" ht="12.75" hidden="1">
      <c r="A235" s="22">
        <f t="shared" si="26"/>
        <v>215</v>
      </c>
      <c r="B235" s="148">
        <f t="shared" si="27"/>
        <v>0</v>
      </c>
      <c r="C235" s="148">
        <f t="shared" si="21"/>
        <v>0</v>
      </c>
      <c r="D235" s="148">
        <f t="shared" si="22"/>
        <v>0</v>
      </c>
      <c r="E235" s="348">
        <f t="shared" si="23"/>
        <v>0</v>
      </c>
      <c r="F235" s="148">
        <f t="shared" si="24"/>
        <v>0</v>
      </c>
      <c r="G235" s="149">
        <f t="shared" si="25"/>
        <v>0</v>
      </c>
    </row>
    <row r="236" spans="1:7" ht="12.75" hidden="1">
      <c r="A236" s="22">
        <f t="shared" si="26"/>
        <v>216</v>
      </c>
      <c r="B236" s="148">
        <f t="shared" si="27"/>
        <v>0</v>
      </c>
      <c r="C236" s="148">
        <f t="shared" si="21"/>
        <v>0</v>
      </c>
      <c r="D236" s="148">
        <f t="shared" si="22"/>
        <v>0</v>
      </c>
      <c r="E236" s="348">
        <f t="shared" si="23"/>
        <v>0</v>
      </c>
      <c r="F236" s="148">
        <f t="shared" si="24"/>
        <v>0</v>
      </c>
      <c r="G236" s="149">
        <f t="shared" si="25"/>
        <v>0</v>
      </c>
    </row>
    <row r="237" spans="1:7" ht="12.75" hidden="1">
      <c r="A237" s="22">
        <f t="shared" si="26"/>
        <v>217</v>
      </c>
      <c r="B237" s="148">
        <f t="shared" si="27"/>
        <v>0</v>
      </c>
      <c r="C237" s="148">
        <f t="shared" si="21"/>
        <v>0</v>
      </c>
      <c r="D237" s="148">
        <f t="shared" si="22"/>
        <v>0</v>
      </c>
      <c r="E237" s="348">
        <f t="shared" si="23"/>
        <v>0</v>
      </c>
      <c r="F237" s="148">
        <f t="shared" si="24"/>
        <v>0</v>
      </c>
      <c r="G237" s="149">
        <f t="shared" si="25"/>
        <v>0</v>
      </c>
    </row>
    <row r="238" spans="1:7" ht="12.75" hidden="1">
      <c r="A238" s="22">
        <f t="shared" si="26"/>
        <v>218</v>
      </c>
      <c r="B238" s="148">
        <f t="shared" si="27"/>
        <v>0</v>
      </c>
      <c r="C238" s="148">
        <f t="shared" si="21"/>
        <v>0</v>
      </c>
      <c r="D238" s="148">
        <f t="shared" si="22"/>
        <v>0</v>
      </c>
      <c r="E238" s="348">
        <f t="shared" si="23"/>
        <v>0</v>
      </c>
      <c r="F238" s="148">
        <f t="shared" si="24"/>
        <v>0</v>
      </c>
      <c r="G238" s="149">
        <f t="shared" si="25"/>
        <v>0</v>
      </c>
    </row>
    <row r="239" spans="1:7" ht="12.75" hidden="1">
      <c r="A239" s="22">
        <f t="shared" si="26"/>
        <v>219</v>
      </c>
      <c r="B239" s="148">
        <f t="shared" si="27"/>
        <v>0</v>
      </c>
      <c r="C239" s="148">
        <f t="shared" si="21"/>
        <v>0</v>
      </c>
      <c r="D239" s="148">
        <f t="shared" si="22"/>
        <v>0</v>
      </c>
      <c r="E239" s="348">
        <f t="shared" si="23"/>
        <v>0</v>
      </c>
      <c r="F239" s="148">
        <f t="shared" si="24"/>
        <v>0</v>
      </c>
      <c r="G239" s="149">
        <f t="shared" si="25"/>
        <v>0</v>
      </c>
    </row>
    <row r="240" spans="1:7" ht="12.75" hidden="1">
      <c r="A240" s="22">
        <f t="shared" si="26"/>
        <v>220</v>
      </c>
      <c r="B240" s="148">
        <f t="shared" si="27"/>
        <v>0</v>
      </c>
      <c r="C240" s="148">
        <f t="shared" si="21"/>
        <v>0</v>
      </c>
      <c r="D240" s="148">
        <f t="shared" si="22"/>
        <v>0</v>
      </c>
      <c r="E240" s="348">
        <f t="shared" si="23"/>
        <v>0</v>
      </c>
      <c r="F240" s="148">
        <f t="shared" si="24"/>
        <v>0</v>
      </c>
      <c r="G240" s="149">
        <f t="shared" si="25"/>
        <v>0</v>
      </c>
    </row>
    <row r="241" spans="1:7" ht="12.75" hidden="1">
      <c r="A241" s="22">
        <f t="shared" si="26"/>
        <v>221</v>
      </c>
      <c r="B241" s="148">
        <f t="shared" si="27"/>
        <v>0</v>
      </c>
      <c r="C241" s="148">
        <f t="shared" si="21"/>
        <v>0</v>
      </c>
      <c r="D241" s="148">
        <f t="shared" si="22"/>
        <v>0</v>
      </c>
      <c r="E241" s="348">
        <f t="shared" si="23"/>
        <v>0</v>
      </c>
      <c r="F241" s="148">
        <f t="shared" si="24"/>
        <v>0</v>
      </c>
      <c r="G241" s="149">
        <f t="shared" si="25"/>
        <v>0</v>
      </c>
    </row>
    <row r="242" spans="1:7" ht="12.75" hidden="1">
      <c r="A242" s="22">
        <f t="shared" si="26"/>
        <v>222</v>
      </c>
      <c r="B242" s="148">
        <f t="shared" si="27"/>
        <v>0</v>
      </c>
      <c r="C242" s="148">
        <f t="shared" si="21"/>
        <v>0</v>
      </c>
      <c r="D242" s="148">
        <f t="shared" si="22"/>
        <v>0</v>
      </c>
      <c r="E242" s="348">
        <f t="shared" si="23"/>
        <v>0</v>
      </c>
      <c r="F242" s="148">
        <f t="shared" si="24"/>
        <v>0</v>
      </c>
      <c r="G242" s="149">
        <f t="shared" si="25"/>
        <v>0</v>
      </c>
    </row>
    <row r="243" spans="1:7" ht="12.75" hidden="1">
      <c r="A243" s="22">
        <f t="shared" si="26"/>
        <v>223</v>
      </c>
      <c r="B243" s="148">
        <f t="shared" si="27"/>
        <v>0</v>
      </c>
      <c r="C243" s="148">
        <f t="shared" si="21"/>
        <v>0</v>
      </c>
      <c r="D243" s="148">
        <f t="shared" si="22"/>
        <v>0</v>
      </c>
      <c r="E243" s="348">
        <f t="shared" si="23"/>
        <v>0</v>
      </c>
      <c r="F243" s="148">
        <f t="shared" si="24"/>
        <v>0</v>
      </c>
      <c r="G243" s="149">
        <f t="shared" si="25"/>
        <v>0</v>
      </c>
    </row>
    <row r="244" spans="1:7" ht="12.75" hidden="1">
      <c r="A244" s="22">
        <f t="shared" si="26"/>
        <v>224</v>
      </c>
      <c r="B244" s="148">
        <f t="shared" si="27"/>
        <v>0</v>
      </c>
      <c r="C244" s="148">
        <f t="shared" si="21"/>
        <v>0</v>
      </c>
      <c r="D244" s="148">
        <f t="shared" si="22"/>
        <v>0</v>
      </c>
      <c r="E244" s="348">
        <f t="shared" si="23"/>
        <v>0</v>
      </c>
      <c r="F244" s="148">
        <f t="shared" si="24"/>
        <v>0</v>
      </c>
      <c r="G244" s="149">
        <f t="shared" si="25"/>
        <v>0</v>
      </c>
    </row>
    <row r="245" spans="1:7" ht="12.75" hidden="1">
      <c r="A245" s="22">
        <f t="shared" si="26"/>
        <v>225</v>
      </c>
      <c r="B245" s="148">
        <f t="shared" si="27"/>
        <v>0</v>
      </c>
      <c r="C245" s="148">
        <f t="shared" si="21"/>
        <v>0</v>
      </c>
      <c r="D245" s="148">
        <f t="shared" si="22"/>
        <v>0</v>
      </c>
      <c r="E245" s="348">
        <f t="shared" si="23"/>
        <v>0</v>
      </c>
      <c r="F245" s="148">
        <f t="shared" si="24"/>
        <v>0</v>
      </c>
      <c r="G245" s="149">
        <f t="shared" si="25"/>
        <v>0</v>
      </c>
    </row>
    <row r="246" spans="1:7" ht="12.75" hidden="1">
      <c r="A246" s="22">
        <f t="shared" si="26"/>
        <v>226</v>
      </c>
      <c r="B246" s="148">
        <f t="shared" si="27"/>
        <v>0</v>
      </c>
      <c r="C246" s="148">
        <f t="shared" si="21"/>
        <v>0</v>
      </c>
      <c r="D246" s="148">
        <f t="shared" si="22"/>
        <v>0</v>
      </c>
      <c r="E246" s="348">
        <f t="shared" si="23"/>
        <v>0</v>
      </c>
      <c r="F246" s="148">
        <f t="shared" si="24"/>
        <v>0</v>
      </c>
      <c r="G246" s="149">
        <f t="shared" si="25"/>
        <v>0</v>
      </c>
    </row>
    <row r="247" spans="1:7" ht="12.75" hidden="1">
      <c r="A247" s="22">
        <f t="shared" si="26"/>
        <v>227</v>
      </c>
      <c r="B247" s="148">
        <f t="shared" si="27"/>
        <v>0</v>
      </c>
      <c r="C247" s="148">
        <f t="shared" si="21"/>
        <v>0</v>
      </c>
      <c r="D247" s="148">
        <f t="shared" si="22"/>
        <v>0</v>
      </c>
      <c r="E247" s="348">
        <f t="shared" si="23"/>
        <v>0</v>
      </c>
      <c r="F247" s="148">
        <f t="shared" si="24"/>
        <v>0</v>
      </c>
      <c r="G247" s="149">
        <f t="shared" si="25"/>
        <v>0</v>
      </c>
    </row>
    <row r="248" spans="1:7" ht="12.75" hidden="1">
      <c r="A248" s="22">
        <f t="shared" si="26"/>
        <v>228</v>
      </c>
      <c r="B248" s="148">
        <f t="shared" si="27"/>
        <v>0</v>
      </c>
      <c r="C248" s="148">
        <f t="shared" si="21"/>
        <v>0</v>
      </c>
      <c r="D248" s="148">
        <f t="shared" si="22"/>
        <v>0</v>
      </c>
      <c r="E248" s="348">
        <f t="shared" si="23"/>
        <v>0</v>
      </c>
      <c r="F248" s="148">
        <f t="shared" si="24"/>
        <v>0</v>
      </c>
      <c r="G248" s="149">
        <f t="shared" si="25"/>
        <v>0</v>
      </c>
    </row>
    <row r="249" spans="1:7" ht="12.75" hidden="1">
      <c r="A249" s="22">
        <f t="shared" si="26"/>
        <v>229</v>
      </c>
      <c r="B249" s="148">
        <f t="shared" si="27"/>
        <v>0</v>
      </c>
      <c r="C249" s="148">
        <f t="shared" si="21"/>
        <v>0</v>
      </c>
      <c r="D249" s="148">
        <f t="shared" si="22"/>
        <v>0</v>
      </c>
      <c r="E249" s="348">
        <f t="shared" si="23"/>
        <v>0</v>
      </c>
      <c r="F249" s="148">
        <f t="shared" si="24"/>
        <v>0</v>
      </c>
      <c r="G249" s="149">
        <f t="shared" si="25"/>
        <v>0</v>
      </c>
    </row>
    <row r="250" spans="1:7" ht="12.75" hidden="1">
      <c r="A250" s="22">
        <f t="shared" si="26"/>
        <v>230</v>
      </c>
      <c r="B250" s="148">
        <f t="shared" si="27"/>
        <v>0</v>
      </c>
      <c r="C250" s="148">
        <f t="shared" si="21"/>
        <v>0</v>
      </c>
      <c r="D250" s="148">
        <f t="shared" si="22"/>
        <v>0</v>
      </c>
      <c r="E250" s="348">
        <f t="shared" si="23"/>
        <v>0</v>
      </c>
      <c r="F250" s="148">
        <f t="shared" si="24"/>
        <v>0</v>
      </c>
      <c r="G250" s="149">
        <f t="shared" si="25"/>
        <v>0</v>
      </c>
    </row>
    <row r="251" spans="1:7" ht="12.75" hidden="1">
      <c r="A251" s="22">
        <f t="shared" si="26"/>
        <v>231</v>
      </c>
      <c r="B251" s="148">
        <f t="shared" si="27"/>
        <v>0</v>
      </c>
      <c r="C251" s="148">
        <f t="shared" si="21"/>
        <v>0</v>
      </c>
      <c r="D251" s="148">
        <f t="shared" si="22"/>
        <v>0</v>
      </c>
      <c r="E251" s="348">
        <f t="shared" si="23"/>
        <v>0</v>
      </c>
      <c r="F251" s="148">
        <f t="shared" si="24"/>
        <v>0</v>
      </c>
      <c r="G251" s="149">
        <f t="shared" si="25"/>
        <v>0</v>
      </c>
    </row>
    <row r="252" spans="1:7" ht="12.75" hidden="1">
      <c r="A252" s="22">
        <f t="shared" si="26"/>
        <v>232</v>
      </c>
      <c r="B252" s="148">
        <f t="shared" si="27"/>
        <v>0</v>
      </c>
      <c r="C252" s="148">
        <f t="shared" si="21"/>
        <v>0</v>
      </c>
      <c r="D252" s="148">
        <f t="shared" si="22"/>
        <v>0</v>
      </c>
      <c r="E252" s="348">
        <f t="shared" si="23"/>
        <v>0</v>
      </c>
      <c r="F252" s="148">
        <f t="shared" si="24"/>
        <v>0</v>
      </c>
      <c r="G252" s="149">
        <f t="shared" si="25"/>
        <v>0</v>
      </c>
    </row>
    <row r="253" spans="1:7" ht="12.75" hidden="1">
      <c r="A253" s="22">
        <f t="shared" si="26"/>
        <v>233</v>
      </c>
      <c r="B253" s="148">
        <f t="shared" si="27"/>
        <v>0</v>
      </c>
      <c r="C253" s="148">
        <f t="shared" si="21"/>
        <v>0</v>
      </c>
      <c r="D253" s="148">
        <f t="shared" si="22"/>
        <v>0</v>
      </c>
      <c r="E253" s="348">
        <f t="shared" si="23"/>
        <v>0</v>
      </c>
      <c r="F253" s="148">
        <f t="shared" si="24"/>
        <v>0</v>
      </c>
      <c r="G253" s="149">
        <f t="shared" si="25"/>
        <v>0</v>
      </c>
    </row>
    <row r="254" spans="1:7" ht="12.75" hidden="1">
      <c r="A254" s="22">
        <f t="shared" si="26"/>
        <v>234</v>
      </c>
      <c r="B254" s="148">
        <f t="shared" si="27"/>
        <v>0</v>
      </c>
      <c r="C254" s="148">
        <f t="shared" si="21"/>
        <v>0</v>
      </c>
      <c r="D254" s="148">
        <f t="shared" si="22"/>
        <v>0</v>
      </c>
      <c r="E254" s="348">
        <f t="shared" si="23"/>
        <v>0</v>
      </c>
      <c r="F254" s="148">
        <f t="shared" si="24"/>
        <v>0</v>
      </c>
      <c r="G254" s="149">
        <f t="shared" si="25"/>
        <v>0</v>
      </c>
    </row>
    <row r="255" spans="1:7" ht="12.75" hidden="1">
      <c r="A255" s="22">
        <f t="shared" si="26"/>
        <v>235</v>
      </c>
      <c r="B255" s="148">
        <f t="shared" si="27"/>
        <v>0</v>
      </c>
      <c r="C255" s="148">
        <f t="shared" si="21"/>
        <v>0</v>
      </c>
      <c r="D255" s="148">
        <f t="shared" si="22"/>
        <v>0</v>
      </c>
      <c r="E255" s="348">
        <f t="shared" si="23"/>
        <v>0</v>
      </c>
      <c r="F255" s="148">
        <f t="shared" si="24"/>
        <v>0</v>
      </c>
      <c r="G255" s="149">
        <f t="shared" si="25"/>
        <v>0</v>
      </c>
    </row>
    <row r="256" spans="1:7" ht="12.75" hidden="1">
      <c r="A256" s="22">
        <f t="shared" si="26"/>
        <v>236</v>
      </c>
      <c r="B256" s="148">
        <f t="shared" si="27"/>
        <v>0</v>
      </c>
      <c r="C256" s="148">
        <f t="shared" si="21"/>
        <v>0</v>
      </c>
      <c r="D256" s="148">
        <f t="shared" si="22"/>
        <v>0</v>
      </c>
      <c r="E256" s="348">
        <f t="shared" si="23"/>
        <v>0</v>
      </c>
      <c r="F256" s="148">
        <f t="shared" si="24"/>
        <v>0</v>
      </c>
      <c r="G256" s="149">
        <f t="shared" si="25"/>
        <v>0</v>
      </c>
    </row>
    <row r="257" spans="1:7" ht="12.75" hidden="1">
      <c r="A257" s="22">
        <f t="shared" si="26"/>
        <v>237</v>
      </c>
      <c r="B257" s="148">
        <f t="shared" si="27"/>
        <v>0</v>
      </c>
      <c r="C257" s="148">
        <f t="shared" si="21"/>
        <v>0</v>
      </c>
      <c r="D257" s="148">
        <f t="shared" si="22"/>
        <v>0</v>
      </c>
      <c r="E257" s="348">
        <f t="shared" si="23"/>
        <v>0</v>
      </c>
      <c r="F257" s="148">
        <f t="shared" si="24"/>
        <v>0</v>
      </c>
      <c r="G257" s="149">
        <f t="shared" si="25"/>
        <v>0</v>
      </c>
    </row>
    <row r="258" spans="1:7" ht="12.75" hidden="1">
      <c r="A258" s="22">
        <f t="shared" si="26"/>
        <v>238</v>
      </c>
      <c r="B258" s="148">
        <f t="shared" si="27"/>
        <v>0</v>
      </c>
      <c r="C258" s="148">
        <f t="shared" si="21"/>
        <v>0</v>
      </c>
      <c r="D258" s="148">
        <f t="shared" si="22"/>
        <v>0</v>
      </c>
      <c r="E258" s="348">
        <f t="shared" si="23"/>
        <v>0</v>
      </c>
      <c r="F258" s="148">
        <f t="shared" si="24"/>
        <v>0</v>
      </c>
      <c r="G258" s="149">
        <f t="shared" si="25"/>
        <v>0</v>
      </c>
    </row>
    <row r="259" spans="1:7" ht="12.75" hidden="1">
      <c r="A259" s="22">
        <f t="shared" si="26"/>
        <v>239</v>
      </c>
      <c r="B259" s="148">
        <f t="shared" si="27"/>
        <v>0</v>
      </c>
      <c r="C259" s="148">
        <f t="shared" si="21"/>
        <v>0</v>
      </c>
      <c r="D259" s="148">
        <f t="shared" si="22"/>
        <v>0</v>
      </c>
      <c r="E259" s="348">
        <f t="shared" si="23"/>
        <v>0</v>
      </c>
      <c r="F259" s="148">
        <f t="shared" si="24"/>
        <v>0</v>
      </c>
      <c r="G259" s="149">
        <f t="shared" si="25"/>
        <v>0</v>
      </c>
    </row>
    <row r="260" spans="1:7" ht="12.75" hidden="1">
      <c r="A260" s="22">
        <f t="shared" si="26"/>
        <v>240</v>
      </c>
      <c r="B260" s="148">
        <f t="shared" si="27"/>
        <v>0</v>
      </c>
      <c r="C260" s="148">
        <f t="shared" si="21"/>
        <v>0</v>
      </c>
      <c r="D260" s="148">
        <f t="shared" si="22"/>
        <v>0</v>
      </c>
      <c r="E260" s="348">
        <f t="shared" si="23"/>
        <v>0</v>
      </c>
      <c r="F260" s="148">
        <f t="shared" si="24"/>
        <v>0</v>
      </c>
      <c r="G260" s="149">
        <f t="shared" si="25"/>
        <v>0</v>
      </c>
    </row>
    <row r="261" spans="1:7" ht="12.75" hidden="1">
      <c r="A261" s="22">
        <f t="shared" si="26"/>
        <v>241</v>
      </c>
      <c r="B261" s="148">
        <f t="shared" si="27"/>
        <v>0</v>
      </c>
      <c r="C261" s="148">
        <f t="shared" si="21"/>
        <v>0</v>
      </c>
      <c r="D261" s="148">
        <f t="shared" si="22"/>
        <v>0</v>
      </c>
      <c r="E261" s="348">
        <f t="shared" si="23"/>
        <v>0</v>
      </c>
      <c r="F261" s="148">
        <f t="shared" si="24"/>
        <v>0</v>
      </c>
      <c r="G261" s="149">
        <f t="shared" si="25"/>
        <v>0</v>
      </c>
    </row>
    <row r="262" spans="1:7" ht="12.75" hidden="1">
      <c r="A262" s="22">
        <f t="shared" si="26"/>
        <v>242</v>
      </c>
      <c r="B262" s="148">
        <f t="shared" si="27"/>
        <v>0</v>
      </c>
      <c r="C262" s="148">
        <f t="shared" si="21"/>
        <v>0</v>
      </c>
      <c r="D262" s="148">
        <f t="shared" si="22"/>
        <v>0</v>
      </c>
      <c r="E262" s="348">
        <f t="shared" si="23"/>
        <v>0</v>
      </c>
      <c r="F262" s="148">
        <f t="shared" si="24"/>
        <v>0</v>
      </c>
      <c r="G262" s="149">
        <f t="shared" si="25"/>
        <v>0</v>
      </c>
    </row>
    <row r="263" spans="1:7" ht="12.75" hidden="1">
      <c r="A263" s="22">
        <f t="shared" si="26"/>
        <v>243</v>
      </c>
      <c r="B263" s="148">
        <f t="shared" si="27"/>
        <v>0</v>
      </c>
      <c r="C263" s="148">
        <f t="shared" si="21"/>
        <v>0</v>
      </c>
      <c r="D263" s="148">
        <f t="shared" si="22"/>
        <v>0</v>
      </c>
      <c r="E263" s="348">
        <f t="shared" si="23"/>
        <v>0</v>
      </c>
      <c r="F263" s="148">
        <f t="shared" si="24"/>
        <v>0</v>
      </c>
      <c r="G263" s="149">
        <f t="shared" si="25"/>
        <v>0</v>
      </c>
    </row>
    <row r="264" spans="1:7" ht="12.75" hidden="1">
      <c r="A264" s="22">
        <f t="shared" si="26"/>
        <v>244</v>
      </c>
      <c r="B264" s="148">
        <f t="shared" si="27"/>
        <v>0</v>
      </c>
      <c r="C264" s="148">
        <f t="shared" si="21"/>
        <v>0</v>
      </c>
      <c r="D264" s="148">
        <f t="shared" si="22"/>
        <v>0</v>
      </c>
      <c r="E264" s="348">
        <f t="shared" si="23"/>
        <v>0</v>
      </c>
      <c r="F264" s="148">
        <f t="shared" si="24"/>
        <v>0</v>
      </c>
      <c r="G264" s="149">
        <f t="shared" si="25"/>
        <v>0</v>
      </c>
    </row>
    <row r="265" spans="1:7" ht="12.75" hidden="1">
      <c r="A265" s="22">
        <f t="shared" si="26"/>
        <v>245</v>
      </c>
      <c r="B265" s="148">
        <f t="shared" si="27"/>
        <v>0</v>
      </c>
      <c r="C265" s="148">
        <f t="shared" si="21"/>
        <v>0</v>
      </c>
      <c r="D265" s="148">
        <f t="shared" si="22"/>
        <v>0</v>
      </c>
      <c r="E265" s="348">
        <f t="shared" si="23"/>
        <v>0</v>
      </c>
      <c r="F265" s="148">
        <f t="shared" si="24"/>
        <v>0</v>
      </c>
      <c r="G265" s="149">
        <f t="shared" si="25"/>
        <v>0</v>
      </c>
    </row>
    <row r="266" spans="1:7" ht="12.75" hidden="1">
      <c r="A266" s="22">
        <f t="shared" si="26"/>
        <v>246</v>
      </c>
      <c r="B266" s="148">
        <f t="shared" si="27"/>
        <v>0</v>
      </c>
      <c r="C266" s="148">
        <f t="shared" si="21"/>
        <v>0</v>
      </c>
      <c r="D266" s="148">
        <f t="shared" si="22"/>
        <v>0</v>
      </c>
      <c r="E266" s="348">
        <f t="shared" si="23"/>
        <v>0</v>
      </c>
      <c r="F266" s="148">
        <f t="shared" si="24"/>
        <v>0</v>
      </c>
      <c r="G266" s="149">
        <f t="shared" si="25"/>
        <v>0</v>
      </c>
    </row>
    <row r="267" spans="1:7" ht="12.75" hidden="1">
      <c r="A267" s="22">
        <f t="shared" si="26"/>
        <v>247</v>
      </c>
      <c r="B267" s="148">
        <f t="shared" si="27"/>
        <v>0</v>
      </c>
      <c r="C267" s="148">
        <f t="shared" si="21"/>
        <v>0</v>
      </c>
      <c r="D267" s="148">
        <f t="shared" si="22"/>
        <v>0</v>
      </c>
      <c r="E267" s="348">
        <f t="shared" si="23"/>
        <v>0</v>
      </c>
      <c r="F267" s="148">
        <f t="shared" si="24"/>
        <v>0</v>
      </c>
      <c r="G267" s="149">
        <f t="shared" si="25"/>
        <v>0</v>
      </c>
    </row>
    <row r="268" spans="1:7" ht="12.75" hidden="1">
      <c r="A268" s="22">
        <f t="shared" si="26"/>
        <v>248</v>
      </c>
      <c r="B268" s="148">
        <f t="shared" si="27"/>
        <v>0</v>
      </c>
      <c r="C268" s="148">
        <f t="shared" si="21"/>
        <v>0</v>
      </c>
      <c r="D268" s="148">
        <f t="shared" si="22"/>
        <v>0</v>
      </c>
      <c r="E268" s="348">
        <f t="shared" si="23"/>
        <v>0</v>
      </c>
      <c r="F268" s="148">
        <f t="shared" si="24"/>
        <v>0</v>
      </c>
      <c r="G268" s="149">
        <f t="shared" si="25"/>
        <v>0</v>
      </c>
    </row>
    <row r="269" spans="1:7" ht="12.75" hidden="1">
      <c r="A269" s="22">
        <f t="shared" si="26"/>
        <v>249</v>
      </c>
      <c r="B269" s="148">
        <f t="shared" si="27"/>
        <v>0</v>
      </c>
      <c r="C269" s="148">
        <f t="shared" si="21"/>
        <v>0</v>
      </c>
      <c r="D269" s="148">
        <f t="shared" si="22"/>
        <v>0</v>
      </c>
      <c r="E269" s="348">
        <f t="shared" si="23"/>
        <v>0</v>
      </c>
      <c r="F269" s="148">
        <f t="shared" si="24"/>
        <v>0</v>
      </c>
      <c r="G269" s="149">
        <f t="shared" si="25"/>
        <v>0</v>
      </c>
    </row>
    <row r="270" spans="1:7" ht="12.75" hidden="1">
      <c r="A270" s="22">
        <f t="shared" si="26"/>
        <v>250</v>
      </c>
      <c r="B270" s="148">
        <f t="shared" si="27"/>
        <v>0</v>
      </c>
      <c r="C270" s="148">
        <f t="shared" si="21"/>
        <v>0</v>
      </c>
      <c r="D270" s="148">
        <f t="shared" si="22"/>
        <v>0</v>
      </c>
      <c r="E270" s="348">
        <f t="shared" si="23"/>
        <v>0</v>
      </c>
      <c r="F270" s="148">
        <f t="shared" si="24"/>
        <v>0</v>
      </c>
      <c r="G270" s="149">
        <f t="shared" si="25"/>
        <v>0</v>
      </c>
    </row>
    <row r="271" spans="1:7" ht="12.75" hidden="1">
      <c r="A271" s="22">
        <f t="shared" si="26"/>
        <v>251</v>
      </c>
      <c r="B271" s="148">
        <f t="shared" si="27"/>
        <v>0</v>
      </c>
      <c r="C271" s="148">
        <f t="shared" si="21"/>
        <v>0</v>
      </c>
      <c r="D271" s="148">
        <f t="shared" si="22"/>
        <v>0</v>
      </c>
      <c r="E271" s="348">
        <f t="shared" si="23"/>
        <v>0</v>
      </c>
      <c r="F271" s="148">
        <f t="shared" si="24"/>
        <v>0</v>
      </c>
      <c r="G271" s="149">
        <f t="shared" si="25"/>
        <v>0</v>
      </c>
    </row>
    <row r="272" spans="1:7" ht="12.75" hidden="1">
      <c r="A272" s="22">
        <f t="shared" si="26"/>
        <v>252</v>
      </c>
      <c r="B272" s="148">
        <f t="shared" si="27"/>
        <v>0</v>
      </c>
      <c r="C272" s="148">
        <f t="shared" si="21"/>
        <v>0</v>
      </c>
      <c r="D272" s="148">
        <f t="shared" si="22"/>
        <v>0</v>
      </c>
      <c r="E272" s="348">
        <f t="shared" si="23"/>
        <v>0</v>
      </c>
      <c r="F272" s="148">
        <f t="shared" si="24"/>
        <v>0</v>
      </c>
      <c r="G272" s="149">
        <f t="shared" si="25"/>
        <v>0</v>
      </c>
    </row>
    <row r="273" spans="1:7" ht="12.75" hidden="1">
      <c r="A273" s="22">
        <f t="shared" si="26"/>
        <v>253</v>
      </c>
      <c r="B273" s="148">
        <f t="shared" si="27"/>
        <v>0</v>
      </c>
      <c r="C273" s="148">
        <f t="shared" si="21"/>
        <v>0</v>
      </c>
      <c r="D273" s="148">
        <f t="shared" si="22"/>
        <v>0</v>
      </c>
      <c r="E273" s="348">
        <f t="shared" si="23"/>
        <v>0</v>
      </c>
      <c r="F273" s="148">
        <f t="shared" si="24"/>
        <v>0</v>
      </c>
      <c r="G273" s="149">
        <f t="shared" si="25"/>
        <v>0</v>
      </c>
    </row>
    <row r="274" spans="1:7" ht="12.75" hidden="1">
      <c r="A274" s="22">
        <f t="shared" si="26"/>
        <v>254</v>
      </c>
      <c r="B274" s="148">
        <f t="shared" si="27"/>
        <v>0</v>
      </c>
      <c r="C274" s="148">
        <f t="shared" si="21"/>
        <v>0</v>
      </c>
      <c r="D274" s="148">
        <f t="shared" si="22"/>
        <v>0</v>
      </c>
      <c r="E274" s="348">
        <f t="shared" si="23"/>
        <v>0</v>
      </c>
      <c r="F274" s="148">
        <f t="shared" si="24"/>
        <v>0</v>
      </c>
      <c r="G274" s="149">
        <f t="shared" si="25"/>
        <v>0</v>
      </c>
    </row>
    <row r="275" spans="1:7" ht="12.75" hidden="1">
      <c r="A275" s="22">
        <f t="shared" si="26"/>
        <v>255</v>
      </c>
      <c r="B275" s="148">
        <f t="shared" si="27"/>
        <v>0</v>
      </c>
      <c r="C275" s="148">
        <f t="shared" si="21"/>
        <v>0</v>
      </c>
      <c r="D275" s="148">
        <f t="shared" si="22"/>
        <v>0</v>
      </c>
      <c r="E275" s="348">
        <f t="shared" si="23"/>
        <v>0</v>
      </c>
      <c r="F275" s="148">
        <f t="shared" si="24"/>
        <v>0</v>
      </c>
      <c r="G275" s="149">
        <f t="shared" si="25"/>
        <v>0</v>
      </c>
    </row>
    <row r="276" spans="1:7" ht="12.75" hidden="1">
      <c r="A276" s="22">
        <f t="shared" si="26"/>
        <v>256</v>
      </c>
      <c r="B276" s="148">
        <f t="shared" si="27"/>
        <v>0</v>
      </c>
      <c r="C276" s="148">
        <f t="shared" si="21"/>
        <v>0</v>
      </c>
      <c r="D276" s="148">
        <f t="shared" si="22"/>
        <v>0</v>
      </c>
      <c r="E276" s="348">
        <f t="shared" si="23"/>
        <v>0</v>
      </c>
      <c r="F276" s="148">
        <f t="shared" si="24"/>
        <v>0</v>
      </c>
      <c r="G276" s="149">
        <f t="shared" si="25"/>
        <v>0</v>
      </c>
    </row>
    <row r="277" spans="1:7" ht="12.75" hidden="1">
      <c r="A277" s="22">
        <f t="shared" si="26"/>
        <v>257</v>
      </c>
      <c r="B277" s="148">
        <f t="shared" si="27"/>
        <v>0</v>
      </c>
      <c r="C277" s="148">
        <f aca="true" t="shared" si="28" ref="C277:C340">IF(A277&lt;=$D$9,$D$14*-1,0)</f>
        <v>0</v>
      </c>
      <c r="D277" s="148">
        <f aca="true" t="shared" si="29" ref="D277:D340">IF(A277&gt;$D$9,0,$D$11*-1)</f>
        <v>0</v>
      </c>
      <c r="E277" s="348">
        <f aca="true" t="shared" si="30" ref="E277:E340">B277*$D$10</f>
        <v>0</v>
      </c>
      <c r="F277" s="148">
        <f aca="true" t="shared" si="31" ref="F277:F340">D277-E277</f>
        <v>0</v>
      </c>
      <c r="G277" s="149">
        <f aca="true" t="shared" si="32" ref="G277:G340">B277-F277</f>
        <v>0</v>
      </c>
    </row>
    <row r="278" spans="1:7" ht="12.75" hidden="1">
      <c r="A278" s="22">
        <f aca="true" t="shared" si="33" ref="A278:A341">A277+1</f>
        <v>258</v>
      </c>
      <c r="B278" s="148">
        <f aca="true" t="shared" si="34" ref="B278:B341">IF(A278&lt;=$D$9,G277,0)</f>
        <v>0</v>
      </c>
      <c r="C278" s="148">
        <f t="shared" si="28"/>
        <v>0</v>
      </c>
      <c r="D278" s="148">
        <f t="shared" si="29"/>
        <v>0</v>
      </c>
      <c r="E278" s="348">
        <f t="shared" si="30"/>
        <v>0</v>
      </c>
      <c r="F278" s="148">
        <f t="shared" si="31"/>
        <v>0</v>
      </c>
      <c r="G278" s="149">
        <f t="shared" si="32"/>
        <v>0</v>
      </c>
    </row>
    <row r="279" spans="1:7" ht="12.75" hidden="1">
      <c r="A279" s="22">
        <f t="shared" si="33"/>
        <v>259</v>
      </c>
      <c r="B279" s="148">
        <f t="shared" si="34"/>
        <v>0</v>
      </c>
      <c r="C279" s="148">
        <f t="shared" si="28"/>
        <v>0</v>
      </c>
      <c r="D279" s="148">
        <f t="shared" si="29"/>
        <v>0</v>
      </c>
      <c r="E279" s="348">
        <f t="shared" si="30"/>
        <v>0</v>
      </c>
      <c r="F279" s="148">
        <f t="shared" si="31"/>
        <v>0</v>
      </c>
      <c r="G279" s="149">
        <f t="shared" si="32"/>
        <v>0</v>
      </c>
    </row>
    <row r="280" spans="1:7" ht="12.75" hidden="1">
      <c r="A280" s="22">
        <f t="shared" si="33"/>
        <v>260</v>
      </c>
      <c r="B280" s="148">
        <f t="shared" si="34"/>
        <v>0</v>
      </c>
      <c r="C280" s="148">
        <f t="shared" si="28"/>
        <v>0</v>
      </c>
      <c r="D280" s="148">
        <f t="shared" si="29"/>
        <v>0</v>
      </c>
      <c r="E280" s="348">
        <f t="shared" si="30"/>
        <v>0</v>
      </c>
      <c r="F280" s="148">
        <f t="shared" si="31"/>
        <v>0</v>
      </c>
      <c r="G280" s="149">
        <f t="shared" si="32"/>
        <v>0</v>
      </c>
    </row>
    <row r="281" spans="1:7" ht="12.75" hidden="1">
      <c r="A281" s="22">
        <f t="shared" si="33"/>
        <v>261</v>
      </c>
      <c r="B281" s="148">
        <f t="shared" si="34"/>
        <v>0</v>
      </c>
      <c r="C281" s="148">
        <f t="shared" si="28"/>
        <v>0</v>
      </c>
      <c r="D281" s="148">
        <f t="shared" si="29"/>
        <v>0</v>
      </c>
      <c r="E281" s="348">
        <f t="shared" si="30"/>
        <v>0</v>
      </c>
      <c r="F281" s="148">
        <f t="shared" si="31"/>
        <v>0</v>
      </c>
      <c r="G281" s="149">
        <f t="shared" si="32"/>
        <v>0</v>
      </c>
    </row>
    <row r="282" spans="1:7" ht="12.75" hidden="1">
      <c r="A282" s="22">
        <f t="shared" si="33"/>
        <v>262</v>
      </c>
      <c r="B282" s="148">
        <f t="shared" si="34"/>
        <v>0</v>
      </c>
      <c r="C282" s="148">
        <f t="shared" si="28"/>
        <v>0</v>
      </c>
      <c r="D282" s="148">
        <f t="shared" si="29"/>
        <v>0</v>
      </c>
      <c r="E282" s="348">
        <f t="shared" si="30"/>
        <v>0</v>
      </c>
      <c r="F282" s="148">
        <f t="shared" si="31"/>
        <v>0</v>
      </c>
      <c r="G282" s="149">
        <f t="shared" si="32"/>
        <v>0</v>
      </c>
    </row>
    <row r="283" spans="1:7" ht="12.75" hidden="1">
      <c r="A283" s="22">
        <f t="shared" si="33"/>
        <v>263</v>
      </c>
      <c r="B283" s="148">
        <f t="shared" si="34"/>
        <v>0</v>
      </c>
      <c r="C283" s="148">
        <f t="shared" si="28"/>
        <v>0</v>
      </c>
      <c r="D283" s="148">
        <f t="shared" si="29"/>
        <v>0</v>
      </c>
      <c r="E283" s="348">
        <f t="shared" si="30"/>
        <v>0</v>
      </c>
      <c r="F283" s="148">
        <f t="shared" si="31"/>
        <v>0</v>
      </c>
      <c r="G283" s="149">
        <f t="shared" si="32"/>
        <v>0</v>
      </c>
    </row>
    <row r="284" spans="1:7" ht="12.75" hidden="1">
      <c r="A284" s="22">
        <f t="shared" si="33"/>
        <v>264</v>
      </c>
      <c r="B284" s="148">
        <f t="shared" si="34"/>
        <v>0</v>
      </c>
      <c r="C284" s="148">
        <f t="shared" si="28"/>
        <v>0</v>
      </c>
      <c r="D284" s="148">
        <f t="shared" si="29"/>
        <v>0</v>
      </c>
      <c r="E284" s="348">
        <f t="shared" si="30"/>
        <v>0</v>
      </c>
      <c r="F284" s="148">
        <f t="shared" si="31"/>
        <v>0</v>
      </c>
      <c r="G284" s="149">
        <f t="shared" si="32"/>
        <v>0</v>
      </c>
    </row>
    <row r="285" spans="1:7" ht="12.75" hidden="1">
      <c r="A285" s="22">
        <f t="shared" si="33"/>
        <v>265</v>
      </c>
      <c r="B285" s="148">
        <f t="shared" si="34"/>
        <v>0</v>
      </c>
      <c r="C285" s="148">
        <f t="shared" si="28"/>
        <v>0</v>
      </c>
      <c r="D285" s="148">
        <f t="shared" si="29"/>
        <v>0</v>
      </c>
      <c r="E285" s="348">
        <f t="shared" si="30"/>
        <v>0</v>
      </c>
      <c r="F285" s="148">
        <f t="shared" si="31"/>
        <v>0</v>
      </c>
      <c r="G285" s="149">
        <f t="shared" si="32"/>
        <v>0</v>
      </c>
    </row>
    <row r="286" spans="1:7" ht="12.75" hidden="1">
      <c r="A286" s="22">
        <f t="shared" si="33"/>
        <v>266</v>
      </c>
      <c r="B286" s="148">
        <f t="shared" si="34"/>
        <v>0</v>
      </c>
      <c r="C286" s="148">
        <f t="shared" si="28"/>
        <v>0</v>
      </c>
      <c r="D286" s="148">
        <f t="shared" si="29"/>
        <v>0</v>
      </c>
      <c r="E286" s="348">
        <f t="shared" si="30"/>
        <v>0</v>
      </c>
      <c r="F286" s="148">
        <f t="shared" si="31"/>
        <v>0</v>
      </c>
      <c r="G286" s="149">
        <f t="shared" si="32"/>
        <v>0</v>
      </c>
    </row>
    <row r="287" spans="1:7" ht="12.75" hidden="1">
      <c r="A287" s="22">
        <f t="shared" si="33"/>
        <v>267</v>
      </c>
      <c r="B287" s="148">
        <f t="shared" si="34"/>
        <v>0</v>
      </c>
      <c r="C287" s="148">
        <f t="shared" si="28"/>
        <v>0</v>
      </c>
      <c r="D287" s="148">
        <f t="shared" si="29"/>
        <v>0</v>
      </c>
      <c r="E287" s="348">
        <f t="shared" si="30"/>
        <v>0</v>
      </c>
      <c r="F287" s="148">
        <f t="shared" si="31"/>
        <v>0</v>
      </c>
      <c r="G287" s="149">
        <f t="shared" si="32"/>
        <v>0</v>
      </c>
    </row>
    <row r="288" spans="1:7" ht="12.75" hidden="1">
      <c r="A288" s="22">
        <f t="shared" si="33"/>
        <v>268</v>
      </c>
      <c r="B288" s="148">
        <f t="shared" si="34"/>
        <v>0</v>
      </c>
      <c r="C288" s="148">
        <f t="shared" si="28"/>
        <v>0</v>
      </c>
      <c r="D288" s="148">
        <f t="shared" si="29"/>
        <v>0</v>
      </c>
      <c r="E288" s="348">
        <f t="shared" si="30"/>
        <v>0</v>
      </c>
      <c r="F288" s="148">
        <f t="shared" si="31"/>
        <v>0</v>
      </c>
      <c r="G288" s="149">
        <f t="shared" si="32"/>
        <v>0</v>
      </c>
    </row>
    <row r="289" spans="1:7" ht="12.75" hidden="1">
      <c r="A289" s="22">
        <f t="shared" si="33"/>
        <v>269</v>
      </c>
      <c r="B289" s="148">
        <f t="shared" si="34"/>
        <v>0</v>
      </c>
      <c r="C289" s="148">
        <f t="shared" si="28"/>
        <v>0</v>
      </c>
      <c r="D289" s="148">
        <f t="shared" si="29"/>
        <v>0</v>
      </c>
      <c r="E289" s="348">
        <f t="shared" si="30"/>
        <v>0</v>
      </c>
      <c r="F289" s="148">
        <f t="shared" si="31"/>
        <v>0</v>
      </c>
      <c r="G289" s="149">
        <f t="shared" si="32"/>
        <v>0</v>
      </c>
    </row>
    <row r="290" spans="1:7" ht="12.75" hidden="1">
      <c r="A290" s="22">
        <f t="shared" si="33"/>
        <v>270</v>
      </c>
      <c r="B290" s="148">
        <f t="shared" si="34"/>
        <v>0</v>
      </c>
      <c r="C290" s="148">
        <f t="shared" si="28"/>
        <v>0</v>
      </c>
      <c r="D290" s="148">
        <f t="shared" si="29"/>
        <v>0</v>
      </c>
      <c r="E290" s="348">
        <f t="shared" si="30"/>
        <v>0</v>
      </c>
      <c r="F290" s="148">
        <f t="shared" si="31"/>
        <v>0</v>
      </c>
      <c r="G290" s="149">
        <f t="shared" si="32"/>
        <v>0</v>
      </c>
    </row>
    <row r="291" spans="1:7" ht="12.75" hidden="1">
      <c r="A291" s="22">
        <f t="shared" si="33"/>
        <v>271</v>
      </c>
      <c r="B291" s="148">
        <f t="shared" si="34"/>
        <v>0</v>
      </c>
      <c r="C291" s="148">
        <f t="shared" si="28"/>
        <v>0</v>
      </c>
      <c r="D291" s="148">
        <f t="shared" si="29"/>
        <v>0</v>
      </c>
      <c r="E291" s="348">
        <f t="shared" si="30"/>
        <v>0</v>
      </c>
      <c r="F291" s="148">
        <f t="shared" si="31"/>
        <v>0</v>
      </c>
      <c r="G291" s="149">
        <f t="shared" si="32"/>
        <v>0</v>
      </c>
    </row>
    <row r="292" spans="1:7" ht="12.75" hidden="1">
      <c r="A292" s="22">
        <f t="shared" si="33"/>
        <v>272</v>
      </c>
      <c r="B292" s="148">
        <f t="shared" si="34"/>
        <v>0</v>
      </c>
      <c r="C292" s="148">
        <f t="shared" si="28"/>
        <v>0</v>
      </c>
      <c r="D292" s="148">
        <f t="shared" si="29"/>
        <v>0</v>
      </c>
      <c r="E292" s="348">
        <f t="shared" si="30"/>
        <v>0</v>
      </c>
      <c r="F292" s="148">
        <f t="shared" si="31"/>
        <v>0</v>
      </c>
      <c r="G292" s="149">
        <f t="shared" si="32"/>
        <v>0</v>
      </c>
    </row>
    <row r="293" spans="1:7" ht="12.75" hidden="1">
      <c r="A293" s="22">
        <f t="shared" si="33"/>
        <v>273</v>
      </c>
      <c r="B293" s="148">
        <f t="shared" si="34"/>
        <v>0</v>
      </c>
      <c r="C293" s="148">
        <f t="shared" si="28"/>
        <v>0</v>
      </c>
      <c r="D293" s="148">
        <f t="shared" si="29"/>
        <v>0</v>
      </c>
      <c r="E293" s="348">
        <f t="shared" si="30"/>
        <v>0</v>
      </c>
      <c r="F293" s="148">
        <f t="shared" si="31"/>
        <v>0</v>
      </c>
      <c r="G293" s="149">
        <f t="shared" si="32"/>
        <v>0</v>
      </c>
    </row>
    <row r="294" spans="1:7" ht="12.75" hidden="1">
      <c r="A294" s="22">
        <f t="shared" si="33"/>
        <v>274</v>
      </c>
      <c r="B294" s="148">
        <f t="shared" si="34"/>
        <v>0</v>
      </c>
      <c r="C294" s="148">
        <f t="shared" si="28"/>
        <v>0</v>
      </c>
      <c r="D294" s="148">
        <f t="shared" si="29"/>
        <v>0</v>
      </c>
      <c r="E294" s="348">
        <f t="shared" si="30"/>
        <v>0</v>
      </c>
      <c r="F294" s="148">
        <f t="shared" si="31"/>
        <v>0</v>
      </c>
      <c r="G294" s="149">
        <f t="shared" si="32"/>
        <v>0</v>
      </c>
    </row>
    <row r="295" spans="1:7" ht="12.75" hidden="1">
      <c r="A295" s="22">
        <f t="shared" si="33"/>
        <v>275</v>
      </c>
      <c r="B295" s="148">
        <f t="shared" si="34"/>
        <v>0</v>
      </c>
      <c r="C295" s="148">
        <f t="shared" si="28"/>
        <v>0</v>
      </c>
      <c r="D295" s="148">
        <f t="shared" si="29"/>
        <v>0</v>
      </c>
      <c r="E295" s="348">
        <f t="shared" si="30"/>
        <v>0</v>
      </c>
      <c r="F295" s="148">
        <f t="shared" si="31"/>
        <v>0</v>
      </c>
      <c r="G295" s="149">
        <f t="shared" si="32"/>
        <v>0</v>
      </c>
    </row>
    <row r="296" spans="1:7" ht="12.75" hidden="1">
      <c r="A296" s="22">
        <f t="shared" si="33"/>
        <v>276</v>
      </c>
      <c r="B296" s="148">
        <f t="shared" si="34"/>
        <v>0</v>
      </c>
      <c r="C296" s="148">
        <f t="shared" si="28"/>
        <v>0</v>
      </c>
      <c r="D296" s="148">
        <f t="shared" si="29"/>
        <v>0</v>
      </c>
      <c r="E296" s="348">
        <f t="shared" si="30"/>
        <v>0</v>
      </c>
      <c r="F296" s="148">
        <f t="shared" si="31"/>
        <v>0</v>
      </c>
      <c r="G296" s="149">
        <f t="shared" si="32"/>
        <v>0</v>
      </c>
    </row>
    <row r="297" spans="1:7" ht="12.75" hidden="1">
      <c r="A297" s="22">
        <f t="shared" si="33"/>
        <v>277</v>
      </c>
      <c r="B297" s="148">
        <f t="shared" si="34"/>
        <v>0</v>
      </c>
      <c r="C297" s="148">
        <f t="shared" si="28"/>
        <v>0</v>
      </c>
      <c r="D297" s="148">
        <f t="shared" si="29"/>
        <v>0</v>
      </c>
      <c r="E297" s="348">
        <f t="shared" si="30"/>
        <v>0</v>
      </c>
      <c r="F297" s="148">
        <f t="shared" si="31"/>
        <v>0</v>
      </c>
      <c r="G297" s="149">
        <f t="shared" si="32"/>
        <v>0</v>
      </c>
    </row>
    <row r="298" spans="1:7" ht="12.75" hidden="1">
      <c r="A298" s="22">
        <f t="shared" si="33"/>
        <v>278</v>
      </c>
      <c r="B298" s="148">
        <f t="shared" si="34"/>
        <v>0</v>
      </c>
      <c r="C298" s="148">
        <f t="shared" si="28"/>
        <v>0</v>
      </c>
      <c r="D298" s="148">
        <f t="shared" si="29"/>
        <v>0</v>
      </c>
      <c r="E298" s="348">
        <f t="shared" si="30"/>
        <v>0</v>
      </c>
      <c r="F298" s="148">
        <f t="shared" si="31"/>
        <v>0</v>
      </c>
      <c r="G298" s="149">
        <f t="shared" si="32"/>
        <v>0</v>
      </c>
    </row>
    <row r="299" spans="1:7" ht="12.75" hidden="1">
      <c r="A299" s="22">
        <f t="shared" si="33"/>
        <v>279</v>
      </c>
      <c r="B299" s="148">
        <f t="shared" si="34"/>
        <v>0</v>
      </c>
      <c r="C299" s="148">
        <f t="shared" si="28"/>
        <v>0</v>
      </c>
      <c r="D299" s="148">
        <f t="shared" si="29"/>
        <v>0</v>
      </c>
      <c r="E299" s="348">
        <f t="shared" si="30"/>
        <v>0</v>
      </c>
      <c r="F299" s="148">
        <f t="shared" si="31"/>
        <v>0</v>
      </c>
      <c r="G299" s="149">
        <f t="shared" si="32"/>
        <v>0</v>
      </c>
    </row>
    <row r="300" spans="1:7" ht="12.75" hidden="1">
      <c r="A300" s="22">
        <f t="shared" si="33"/>
        <v>280</v>
      </c>
      <c r="B300" s="148">
        <f t="shared" si="34"/>
        <v>0</v>
      </c>
      <c r="C300" s="148">
        <f t="shared" si="28"/>
        <v>0</v>
      </c>
      <c r="D300" s="148">
        <f t="shared" si="29"/>
        <v>0</v>
      </c>
      <c r="E300" s="348">
        <f t="shared" si="30"/>
        <v>0</v>
      </c>
      <c r="F300" s="148">
        <f t="shared" si="31"/>
        <v>0</v>
      </c>
      <c r="G300" s="149">
        <f t="shared" si="32"/>
        <v>0</v>
      </c>
    </row>
    <row r="301" spans="1:7" ht="12.75" hidden="1">
      <c r="A301" s="22">
        <f t="shared" si="33"/>
        <v>281</v>
      </c>
      <c r="B301" s="148">
        <f t="shared" si="34"/>
        <v>0</v>
      </c>
      <c r="C301" s="148">
        <f t="shared" si="28"/>
        <v>0</v>
      </c>
      <c r="D301" s="148">
        <f t="shared" si="29"/>
        <v>0</v>
      </c>
      <c r="E301" s="348">
        <f t="shared" si="30"/>
        <v>0</v>
      </c>
      <c r="F301" s="148">
        <f t="shared" si="31"/>
        <v>0</v>
      </c>
      <c r="G301" s="149">
        <f t="shared" si="32"/>
        <v>0</v>
      </c>
    </row>
    <row r="302" spans="1:7" ht="12.75" hidden="1">
      <c r="A302" s="22">
        <f t="shared" si="33"/>
        <v>282</v>
      </c>
      <c r="B302" s="148">
        <f t="shared" si="34"/>
        <v>0</v>
      </c>
      <c r="C302" s="148">
        <f t="shared" si="28"/>
        <v>0</v>
      </c>
      <c r="D302" s="148">
        <f t="shared" si="29"/>
        <v>0</v>
      </c>
      <c r="E302" s="348">
        <f t="shared" si="30"/>
        <v>0</v>
      </c>
      <c r="F302" s="148">
        <f t="shared" si="31"/>
        <v>0</v>
      </c>
      <c r="G302" s="149">
        <f t="shared" si="32"/>
        <v>0</v>
      </c>
    </row>
    <row r="303" spans="1:7" ht="12.75" hidden="1">
      <c r="A303" s="22">
        <f t="shared" si="33"/>
        <v>283</v>
      </c>
      <c r="B303" s="148">
        <f t="shared" si="34"/>
        <v>0</v>
      </c>
      <c r="C303" s="148">
        <f t="shared" si="28"/>
        <v>0</v>
      </c>
      <c r="D303" s="148">
        <f t="shared" si="29"/>
        <v>0</v>
      </c>
      <c r="E303" s="348">
        <f t="shared" si="30"/>
        <v>0</v>
      </c>
      <c r="F303" s="148">
        <f t="shared" si="31"/>
        <v>0</v>
      </c>
      <c r="G303" s="149">
        <f t="shared" si="32"/>
        <v>0</v>
      </c>
    </row>
    <row r="304" spans="1:7" ht="12.75" hidden="1">
      <c r="A304" s="22">
        <f t="shared" si="33"/>
        <v>284</v>
      </c>
      <c r="B304" s="148">
        <f t="shared" si="34"/>
        <v>0</v>
      </c>
      <c r="C304" s="148">
        <f t="shared" si="28"/>
        <v>0</v>
      </c>
      <c r="D304" s="148">
        <f t="shared" si="29"/>
        <v>0</v>
      </c>
      <c r="E304" s="348">
        <f t="shared" si="30"/>
        <v>0</v>
      </c>
      <c r="F304" s="148">
        <f t="shared" si="31"/>
        <v>0</v>
      </c>
      <c r="G304" s="149">
        <f t="shared" si="32"/>
        <v>0</v>
      </c>
    </row>
    <row r="305" spans="1:7" ht="12.75" hidden="1">
      <c r="A305" s="22">
        <f t="shared" si="33"/>
        <v>285</v>
      </c>
      <c r="B305" s="148">
        <f t="shared" si="34"/>
        <v>0</v>
      </c>
      <c r="C305" s="148">
        <f t="shared" si="28"/>
        <v>0</v>
      </c>
      <c r="D305" s="148">
        <f t="shared" si="29"/>
        <v>0</v>
      </c>
      <c r="E305" s="348">
        <f t="shared" si="30"/>
        <v>0</v>
      </c>
      <c r="F305" s="148">
        <f t="shared" si="31"/>
        <v>0</v>
      </c>
      <c r="G305" s="149">
        <f t="shared" si="32"/>
        <v>0</v>
      </c>
    </row>
    <row r="306" spans="1:7" ht="12.75" hidden="1">
      <c r="A306" s="22">
        <f t="shared" si="33"/>
        <v>286</v>
      </c>
      <c r="B306" s="148">
        <f t="shared" si="34"/>
        <v>0</v>
      </c>
      <c r="C306" s="148">
        <f t="shared" si="28"/>
        <v>0</v>
      </c>
      <c r="D306" s="148">
        <f t="shared" si="29"/>
        <v>0</v>
      </c>
      <c r="E306" s="348">
        <f t="shared" si="30"/>
        <v>0</v>
      </c>
      <c r="F306" s="148">
        <f t="shared" si="31"/>
        <v>0</v>
      </c>
      <c r="G306" s="149">
        <f t="shared" si="32"/>
        <v>0</v>
      </c>
    </row>
    <row r="307" spans="1:7" ht="12.75" hidden="1">
      <c r="A307" s="22">
        <f t="shared" si="33"/>
        <v>287</v>
      </c>
      <c r="B307" s="148">
        <f t="shared" si="34"/>
        <v>0</v>
      </c>
      <c r="C307" s="148">
        <f t="shared" si="28"/>
        <v>0</v>
      </c>
      <c r="D307" s="148">
        <f t="shared" si="29"/>
        <v>0</v>
      </c>
      <c r="E307" s="348">
        <f t="shared" si="30"/>
        <v>0</v>
      </c>
      <c r="F307" s="148">
        <f t="shared" si="31"/>
        <v>0</v>
      </c>
      <c r="G307" s="149">
        <f t="shared" si="32"/>
        <v>0</v>
      </c>
    </row>
    <row r="308" spans="1:7" ht="12.75" hidden="1">
      <c r="A308" s="22">
        <f t="shared" si="33"/>
        <v>288</v>
      </c>
      <c r="B308" s="148">
        <f t="shared" si="34"/>
        <v>0</v>
      </c>
      <c r="C308" s="148">
        <f t="shared" si="28"/>
        <v>0</v>
      </c>
      <c r="D308" s="148">
        <f t="shared" si="29"/>
        <v>0</v>
      </c>
      <c r="E308" s="348">
        <f t="shared" si="30"/>
        <v>0</v>
      </c>
      <c r="F308" s="148">
        <f t="shared" si="31"/>
        <v>0</v>
      </c>
      <c r="G308" s="149">
        <f t="shared" si="32"/>
        <v>0</v>
      </c>
    </row>
    <row r="309" spans="1:7" ht="12.75" hidden="1">
      <c r="A309" s="22">
        <f t="shared" si="33"/>
        <v>289</v>
      </c>
      <c r="B309" s="148">
        <f t="shared" si="34"/>
        <v>0</v>
      </c>
      <c r="C309" s="148">
        <f t="shared" si="28"/>
        <v>0</v>
      </c>
      <c r="D309" s="148">
        <f t="shared" si="29"/>
        <v>0</v>
      </c>
      <c r="E309" s="348">
        <f t="shared" si="30"/>
        <v>0</v>
      </c>
      <c r="F309" s="148">
        <f t="shared" si="31"/>
        <v>0</v>
      </c>
      <c r="G309" s="149">
        <f t="shared" si="32"/>
        <v>0</v>
      </c>
    </row>
    <row r="310" spans="1:7" ht="12.75" hidden="1">
      <c r="A310" s="22">
        <f t="shared" si="33"/>
        <v>290</v>
      </c>
      <c r="B310" s="148">
        <f t="shared" si="34"/>
        <v>0</v>
      </c>
      <c r="C310" s="148">
        <f t="shared" si="28"/>
        <v>0</v>
      </c>
      <c r="D310" s="148">
        <f t="shared" si="29"/>
        <v>0</v>
      </c>
      <c r="E310" s="348">
        <f t="shared" si="30"/>
        <v>0</v>
      </c>
      <c r="F310" s="148">
        <f t="shared" si="31"/>
        <v>0</v>
      </c>
      <c r="G310" s="149">
        <f t="shared" si="32"/>
        <v>0</v>
      </c>
    </row>
    <row r="311" spans="1:7" ht="12.75" hidden="1">
      <c r="A311" s="22">
        <f t="shared" si="33"/>
        <v>291</v>
      </c>
      <c r="B311" s="148">
        <f t="shared" si="34"/>
        <v>0</v>
      </c>
      <c r="C311" s="148">
        <f t="shared" si="28"/>
        <v>0</v>
      </c>
      <c r="D311" s="148">
        <f t="shared" si="29"/>
        <v>0</v>
      </c>
      <c r="E311" s="348">
        <f t="shared" si="30"/>
        <v>0</v>
      </c>
      <c r="F311" s="148">
        <f t="shared" si="31"/>
        <v>0</v>
      </c>
      <c r="G311" s="149">
        <f t="shared" si="32"/>
        <v>0</v>
      </c>
    </row>
    <row r="312" spans="1:7" ht="12.75" hidden="1">
      <c r="A312" s="22">
        <f t="shared" si="33"/>
        <v>292</v>
      </c>
      <c r="B312" s="148">
        <f t="shared" si="34"/>
        <v>0</v>
      </c>
      <c r="C312" s="148">
        <f t="shared" si="28"/>
        <v>0</v>
      </c>
      <c r="D312" s="148">
        <f t="shared" si="29"/>
        <v>0</v>
      </c>
      <c r="E312" s="348">
        <f t="shared" si="30"/>
        <v>0</v>
      </c>
      <c r="F312" s="148">
        <f t="shared" si="31"/>
        <v>0</v>
      </c>
      <c r="G312" s="149">
        <f t="shared" si="32"/>
        <v>0</v>
      </c>
    </row>
    <row r="313" spans="1:7" ht="12.75" hidden="1">
      <c r="A313" s="22">
        <f t="shared" si="33"/>
        <v>293</v>
      </c>
      <c r="B313" s="148">
        <f t="shared" si="34"/>
        <v>0</v>
      </c>
      <c r="C313" s="148">
        <f t="shared" si="28"/>
        <v>0</v>
      </c>
      <c r="D313" s="148">
        <f t="shared" si="29"/>
        <v>0</v>
      </c>
      <c r="E313" s="348">
        <f t="shared" si="30"/>
        <v>0</v>
      </c>
      <c r="F313" s="148">
        <f t="shared" si="31"/>
        <v>0</v>
      </c>
      <c r="G313" s="149">
        <f t="shared" si="32"/>
        <v>0</v>
      </c>
    </row>
    <row r="314" spans="1:7" ht="12.75" hidden="1">
      <c r="A314" s="22">
        <f t="shared" si="33"/>
        <v>294</v>
      </c>
      <c r="B314" s="148">
        <f t="shared" si="34"/>
        <v>0</v>
      </c>
      <c r="C314" s="148">
        <f t="shared" si="28"/>
        <v>0</v>
      </c>
      <c r="D314" s="148">
        <f t="shared" si="29"/>
        <v>0</v>
      </c>
      <c r="E314" s="348">
        <f t="shared" si="30"/>
        <v>0</v>
      </c>
      <c r="F314" s="148">
        <f t="shared" si="31"/>
        <v>0</v>
      </c>
      <c r="G314" s="149">
        <f t="shared" si="32"/>
        <v>0</v>
      </c>
    </row>
    <row r="315" spans="1:7" ht="12.75" hidden="1">
      <c r="A315" s="22">
        <f t="shared" si="33"/>
        <v>295</v>
      </c>
      <c r="B315" s="148">
        <f t="shared" si="34"/>
        <v>0</v>
      </c>
      <c r="C315" s="148">
        <f t="shared" si="28"/>
        <v>0</v>
      </c>
      <c r="D315" s="148">
        <f t="shared" si="29"/>
        <v>0</v>
      </c>
      <c r="E315" s="348">
        <f t="shared" si="30"/>
        <v>0</v>
      </c>
      <c r="F315" s="148">
        <f t="shared" si="31"/>
        <v>0</v>
      </c>
      <c r="G315" s="149">
        <f t="shared" si="32"/>
        <v>0</v>
      </c>
    </row>
    <row r="316" spans="1:7" ht="12.75" hidden="1">
      <c r="A316" s="22">
        <f t="shared" si="33"/>
        <v>296</v>
      </c>
      <c r="B316" s="148">
        <f t="shared" si="34"/>
        <v>0</v>
      </c>
      <c r="C316" s="148">
        <f t="shared" si="28"/>
        <v>0</v>
      </c>
      <c r="D316" s="148">
        <f t="shared" si="29"/>
        <v>0</v>
      </c>
      <c r="E316" s="348">
        <f t="shared" si="30"/>
        <v>0</v>
      </c>
      <c r="F316" s="148">
        <f t="shared" si="31"/>
        <v>0</v>
      </c>
      <c r="G316" s="149">
        <f t="shared" si="32"/>
        <v>0</v>
      </c>
    </row>
    <row r="317" spans="1:7" ht="12.75" hidden="1">
      <c r="A317" s="22">
        <f t="shared" si="33"/>
        <v>297</v>
      </c>
      <c r="B317" s="148">
        <f t="shared" si="34"/>
        <v>0</v>
      </c>
      <c r="C317" s="148">
        <f t="shared" si="28"/>
        <v>0</v>
      </c>
      <c r="D317" s="148">
        <f t="shared" si="29"/>
        <v>0</v>
      </c>
      <c r="E317" s="348">
        <f t="shared" si="30"/>
        <v>0</v>
      </c>
      <c r="F317" s="148">
        <f t="shared" si="31"/>
        <v>0</v>
      </c>
      <c r="G317" s="149">
        <f t="shared" si="32"/>
        <v>0</v>
      </c>
    </row>
    <row r="318" spans="1:7" ht="12.75" hidden="1">
      <c r="A318" s="22">
        <f t="shared" si="33"/>
        <v>298</v>
      </c>
      <c r="B318" s="148">
        <f t="shared" si="34"/>
        <v>0</v>
      </c>
      <c r="C318" s="148">
        <f t="shared" si="28"/>
        <v>0</v>
      </c>
      <c r="D318" s="148">
        <f t="shared" si="29"/>
        <v>0</v>
      </c>
      <c r="E318" s="348">
        <f t="shared" si="30"/>
        <v>0</v>
      </c>
      <c r="F318" s="148">
        <f t="shared" si="31"/>
        <v>0</v>
      </c>
      <c r="G318" s="149">
        <f t="shared" si="32"/>
        <v>0</v>
      </c>
    </row>
    <row r="319" spans="1:7" ht="12.75" hidden="1">
      <c r="A319" s="22">
        <f t="shared" si="33"/>
        <v>299</v>
      </c>
      <c r="B319" s="148">
        <f t="shared" si="34"/>
        <v>0</v>
      </c>
      <c r="C319" s="148">
        <f t="shared" si="28"/>
        <v>0</v>
      </c>
      <c r="D319" s="148">
        <f t="shared" si="29"/>
        <v>0</v>
      </c>
      <c r="E319" s="348">
        <f t="shared" si="30"/>
        <v>0</v>
      </c>
      <c r="F319" s="148">
        <f t="shared" si="31"/>
        <v>0</v>
      </c>
      <c r="G319" s="149">
        <f t="shared" si="32"/>
        <v>0</v>
      </c>
    </row>
    <row r="320" spans="1:7" ht="12.75" hidden="1">
      <c r="A320" s="22">
        <f t="shared" si="33"/>
        <v>300</v>
      </c>
      <c r="B320" s="148">
        <f t="shared" si="34"/>
        <v>0</v>
      </c>
      <c r="C320" s="148">
        <f t="shared" si="28"/>
        <v>0</v>
      </c>
      <c r="D320" s="148">
        <f t="shared" si="29"/>
        <v>0</v>
      </c>
      <c r="E320" s="348">
        <f t="shared" si="30"/>
        <v>0</v>
      </c>
      <c r="F320" s="148">
        <f t="shared" si="31"/>
        <v>0</v>
      </c>
      <c r="G320" s="149">
        <f t="shared" si="32"/>
        <v>0</v>
      </c>
    </row>
    <row r="321" spans="1:7" ht="12.75" hidden="1">
      <c r="A321" s="22">
        <f t="shared" si="33"/>
        <v>301</v>
      </c>
      <c r="B321" s="148">
        <f t="shared" si="34"/>
        <v>0</v>
      </c>
      <c r="C321" s="148">
        <f t="shared" si="28"/>
        <v>0</v>
      </c>
      <c r="D321" s="148">
        <f t="shared" si="29"/>
        <v>0</v>
      </c>
      <c r="E321" s="348">
        <f t="shared" si="30"/>
        <v>0</v>
      </c>
      <c r="F321" s="148">
        <f t="shared" si="31"/>
        <v>0</v>
      </c>
      <c r="G321" s="149">
        <f t="shared" si="32"/>
        <v>0</v>
      </c>
    </row>
    <row r="322" spans="1:7" ht="12.75" hidden="1">
      <c r="A322" s="22">
        <f t="shared" si="33"/>
        <v>302</v>
      </c>
      <c r="B322" s="148">
        <f t="shared" si="34"/>
        <v>0</v>
      </c>
      <c r="C322" s="148">
        <f t="shared" si="28"/>
        <v>0</v>
      </c>
      <c r="D322" s="148">
        <f t="shared" si="29"/>
        <v>0</v>
      </c>
      <c r="E322" s="348">
        <f t="shared" si="30"/>
        <v>0</v>
      </c>
      <c r="F322" s="148">
        <f t="shared" si="31"/>
        <v>0</v>
      </c>
      <c r="G322" s="149">
        <f t="shared" si="32"/>
        <v>0</v>
      </c>
    </row>
    <row r="323" spans="1:7" ht="12.75" hidden="1">
      <c r="A323" s="22">
        <f t="shared" si="33"/>
        <v>303</v>
      </c>
      <c r="B323" s="148">
        <f t="shared" si="34"/>
        <v>0</v>
      </c>
      <c r="C323" s="148">
        <f t="shared" si="28"/>
        <v>0</v>
      </c>
      <c r="D323" s="148">
        <f t="shared" si="29"/>
        <v>0</v>
      </c>
      <c r="E323" s="348">
        <f t="shared" si="30"/>
        <v>0</v>
      </c>
      <c r="F323" s="148">
        <f t="shared" si="31"/>
        <v>0</v>
      </c>
      <c r="G323" s="149">
        <f t="shared" si="32"/>
        <v>0</v>
      </c>
    </row>
    <row r="324" spans="1:7" ht="12.75" hidden="1">
      <c r="A324" s="22">
        <f t="shared" si="33"/>
        <v>304</v>
      </c>
      <c r="B324" s="148">
        <f t="shared" si="34"/>
        <v>0</v>
      </c>
      <c r="C324" s="148">
        <f t="shared" si="28"/>
        <v>0</v>
      </c>
      <c r="D324" s="148">
        <f t="shared" si="29"/>
        <v>0</v>
      </c>
      <c r="E324" s="348">
        <f t="shared" si="30"/>
        <v>0</v>
      </c>
      <c r="F324" s="148">
        <f t="shared" si="31"/>
        <v>0</v>
      </c>
      <c r="G324" s="149">
        <f t="shared" si="32"/>
        <v>0</v>
      </c>
    </row>
    <row r="325" spans="1:7" ht="12.75" hidden="1">
      <c r="A325" s="22">
        <f t="shared" si="33"/>
        <v>305</v>
      </c>
      <c r="B325" s="148">
        <f t="shared" si="34"/>
        <v>0</v>
      </c>
      <c r="C325" s="148">
        <f t="shared" si="28"/>
        <v>0</v>
      </c>
      <c r="D325" s="148">
        <f t="shared" si="29"/>
        <v>0</v>
      </c>
      <c r="E325" s="348">
        <f t="shared" si="30"/>
        <v>0</v>
      </c>
      <c r="F325" s="148">
        <f t="shared" si="31"/>
        <v>0</v>
      </c>
      <c r="G325" s="149">
        <f t="shared" si="32"/>
        <v>0</v>
      </c>
    </row>
    <row r="326" spans="1:7" ht="12.75" hidden="1">
      <c r="A326" s="22">
        <f t="shared" si="33"/>
        <v>306</v>
      </c>
      <c r="B326" s="148">
        <f t="shared" si="34"/>
        <v>0</v>
      </c>
      <c r="C326" s="148">
        <f t="shared" si="28"/>
        <v>0</v>
      </c>
      <c r="D326" s="148">
        <f t="shared" si="29"/>
        <v>0</v>
      </c>
      <c r="E326" s="348">
        <f t="shared" si="30"/>
        <v>0</v>
      </c>
      <c r="F326" s="148">
        <f t="shared" si="31"/>
        <v>0</v>
      </c>
      <c r="G326" s="149">
        <f t="shared" si="32"/>
        <v>0</v>
      </c>
    </row>
    <row r="327" spans="1:7" ht="12.75" hidden="1">
      <c r="A327" s="22">
        <f t="shared" si="33"/>
        <v>307</v>
      </c>
      <c r="B327" s="148">
        <f t="shared" si="34"/>
        <v>0</v>
      </c>
      <c r="C327" s="148">
        <f t="shared" si="28"/>
        <v>0</v>
      </c>
      <c r="D327" s="148">
        <f t="shared" si="29"/>
        <v>0</v>
      </c>
      <c r="E327" s="348">
        <f t="shared" si="30"/>
        <v>0</v>
      </c>
      <c r="F327" s="148">
        <f t="shared" si="31"/>
        <v>0</v>
      </c>
      <c r="G327" s="149">
        <f t="shared" si="32"/>
        <v>0</v>
      </c>
    </row>
    <row r="328" spans="1:7" ht="12.75" hidden="1">
      <c r="A328" s="22">
        <f t="shared" si="33"/>
        <v>308</v>
      </c>
      <c r="B328" s="148">
        <f t="shared" si="34"/>
        <v>0</v>
      </c>
      <c r="C328" s="148">
        <f t="shared" si="28"/>
        <v>0</v>
      </c>
      <c r="D328" s="148">
        <f t="shared" si="29"/>
        <v>0</v>
      </c>
      <c r="E328" s="348">
        <f t="shared" si="30"/>
        <v>0</v>
      </c>
      <c r="F328" s="148">
        <f t="shared" si="31"/>
        <v>0</v>
      </c>
      <c r="G328" s="149">
        <f t="shared" si="32"/>
        <v>0</v>
      </c>
    </row>
    <row r="329" spans="1:7" ht="12.75" hidden="1">
      <c r="A329" s="22">
        <f t="shared" si="33"/>
        <v>309</v>
      </c>
      <c r="B329" s="148">
        <f t="shared" si="34"/>
        <v>0</v>
      </c>
      <c r="C329" s="148">
        <f t="shared" si="28"/>
        <v>0</v>
      </c>
      <c r="D329" s="148">
        <f t="shared" si="29"/>
        <v>0</v>
      </c>
      <c r="E329" s="348">
        <f t="shared" si="30"/>
        <v>0</v>
      </c>
      <c r="F329" s="148">
        <f t="shared" si="31"/>
        <v>0</v>
      </c>
      <c r="G329" s="149">
        <f t="shared" si="32"/>
        <v>0</v>
      </c>
    </row>
    <row r="330" spans="1:7" ht="12.75" hidden="1">
      <c r="A330" s="22">
        <f t="shared" si="33"/>
        <v>310</v>
      </c>
      <c r="B330" s="148">
        <f t="shared" si="34"/>
        <v>0</v>
      </c>
      <c r="C330" s="148">
        <f t="shared" si="28"/>
        <v>0</v>
      </c>
      <c r="D330" s="148">
        <f t="shared" si="29"/>
        <v>0</v>
      </c>
      <c r="E330" s="348">
        <f t="shared" si="30"/>
        <v>0</v>
      </c>
      <c r="F330" s="148">
        <f t="shared" si="31"/>
        <v>0</v>
      </c>
      <c r="G330" s="149">
        <f t="shared" si="32"/>
        <v>0</v>
      </c>
    </row>
    <row r="331" spans="1:7" ht="12.75" hidden="1">
      <c r="A331" s="22">
        <f t="shared" si="33"/>
        <v>311</v>
      </c>
      <c r="B331" s="148">
        <f t="shared" si="34"/>
        <v>0</v>
      </c>
      <c r="C331" s="148">
        <f t="shared" si="28"/>
        <v>0</v>
      </c>
      <c r="D331" s="148">
        <f t="shared" si="29"/>
        <v>0</v>
      </c>
      <c r="E331" s="348">
        <f t="shared" si="30"/>
        <v>0</v>
      </c>
      <c r="F331" s="148">
        <f t="shared" si="31"/>
        <v>0</v>
      </c>
      <c r="G331" s="149">
        <f t="shared" si="32"/>
        <v>0</v>
      </c>
    </row>
    <row r="332" spans="1:7" ht="12.75" hidden="1">
      <c r="A332" s="22">
        <f t="shared" si="33"/>
        <v>312</v>
      </c>
      <c r="B332" s="148">
        <f t="shared" si="34"/>
        <v>0</v>
      </c>
      <c r="C332" s="148">
        <f t="shared" si="28"/>
        <v>0</v>
      </c>
      <c r="D332" s="148">
        <f t="shared" si="29"/>
        <v>0</v>
      </c>
      <c r="E332" s="348">
        <f t="shared" si="30"/>
        <v>0</v>
      </c>
      <c r="F332" s="148">
        <f t="shared" si="31"/>
        <v>0</v>
      </c>
      <c r="G332" s="149">
        <f t="shared" si="32"/>
        <v>0</v>
      </c>
    </row>
    <row r="333" spans="1:7" ht="12.75" hidden="1">
      <c r="A333" s="22">
        <f t="shared" si="33"/>
        <v>313</v>
      </c>
      <c r="B333" s="148">
        <f t="shared" si="34"/>
        <v>0</v>
      </c>
      <c r="C333" s="148">
        <f t="shared" si="28"/>
        <v>0</v>
      </c>
      <c r="D333" s="148">
        <f t="shared" si="29"/>
        <v>0</v>
      </c>
      <c r="E333" s="348">
        <f t="shared" si="30"/>
        <v>0</v>
      </c>
      <c r="F333" s="148">
        <f t="shared" si="31"/>
        <v>0</v>
      </c>
      <c r="G333" s="149">
        <f t="shared" si="32"/>
        <v>0</v>
      </c>
    </row>
    <row r="334" spans="1:7" ht="12.75" hidden="1">
      <c r="A334" s="22">
        <f t="shared" si="33"/>
        <v>314</v>
      </c>
      <c r="B334" s="148">
        <f t="shared" si="34"/>
        <v>0</v>
      </c>
      <c r="C334" s="148">
        <f t="shared" si="28"/>
        <v>0</v>
      </c>
      <c r="D334" s="148">
        <f t="shared" si="29"/>
        <v>0</v>
      </c>
      <c r="E334" s="348">
        <f t="shared" si="30"/>
        <v>0</v>
      </c>
      <c r="F334" s="148">
        <f t="shared" si="31"/>
        <v>0</v>
      </c>
      <c r="G334" s="149">
        <f t="shared" si="32"/>
        <v>0</v>
      </c>
    </row>
    <row r="335" spans="1:7" ht="12.75" hidden="1">
      <c r="A335" s="22">
        <f t="shared" si="33"/>
        <v>315</v>
      </c>
      <c r="B335" s="148">
        <f t="shared" si="34"/>
        <v>0</v>
      </c>
      <c r="C335" s="148">
        <f t="shared" si="28"/>
        <v>0</v>
      </c>
      <c r="D335" s="148">
        <f t="shared" si="29"/>
        <v>0</v>
      </c>
      <c r="E335" s="348">
        <f t="shared" si="30"/>
        <v>0</v>
      </c>
      <c r="F335" s="148">
        <f t="shared" si="31"/>
        <v>0</v>
      </c>
      <c r="G335" s="149">
        <f t="shared" si="32"/>
        <v>0</v>
      </c>
    </row>
    <row r="336" spans="1:7" ht="12.75" hidden="1">
      <c r="A336" s="22">
        <f t="shared" si="33"/>
        <v>316</v>
      </c>
      <c r="B336" s="148">
        <f t="shared" si="34"/>
        <v>0</v>
      </c>
      <c r="C336" s="148">
        <f t="shared" si="28"/>
        <v>0</v>
      </c>
      <c r="D336" s="148">
        <f t="shared" si="29"/>
        <v>0</v>
      </c>
      <c r="E336" s="348">
        <f t="shared" si="30"/>
        <v>0</v>
      </c>
      <c r="F336" s="148">
        <f t="shared" si="31"/>
        <v>0</v>
      </c>
      <c r="G336" s="149">
        <f t="shared" si="32"/>
        <v>0</v>
      </c>
    </row>
    <row r="337" spans="1:7" ht="12.75" hidden="1">
      <c r="A337" s="22">
        <f t="shared" si="33"/>
        <v>317</v>
      </c>
      <c r="B337" s="148">
        <f t="shared" si="34"/>
        <v>0</v>
      </c>
      <c r="C337" s="148">
        <f t="shared" si="28"/>
        <v>0</v>
      </c>
      <c r="D337" s="148">
        <f t="shared" si="29"/>
        <v>0</v>
      </c>
      <c r="E337" s="348">
        <f t="shared" si="30"/>
        <v>0</v>
      </c>
      <c r="F337" s="148">
        <f t="shared" si="31"/>
        <v>0</v>
      </c>
      <c r="G337" s="149">
        <f t="shared" si="32"/>
        <v>0</v>
      </c>
    </row>
    <row r="338" spans="1:7" ht="12.75" hidden="1">
      <c r="A338" s="22">
        <f t="shared" si="33"/>
        <v>318</v>
      </c>
      <c r="B338" s="148">
        <f t="shared" si="34"/>
        <v>0</v>
      </c>
      <c r="C338" s="148">
        <f t="shared" si="28"/>
        <v>0</v>
      </c>
      <c r="D338" s="148">
        <f t="shared" si="29"/>
        <v>0</v>
      </c>
      <c r="E338" s="348">
        <f t="shared" si="30"/>
        <v>0</v>
      </c>
      <c r="F338" s="148">
        <f t="shared" si="31"/>
        <v>0</v>
      </c>
      <c r="G338" s="149">
        <f t="shared" si="32"/>
        <v>0</v>
      </c>
    </row>
    <row r="339" spans="1:7" ht="12.75" hidden="1">
      <c r="A339" s="22">
        <f t="shared" si="33"/>
        <v>319</v>
      </c>
      <c r="B339" s="148">
        <f t="shared" si="34"/>
        <v>0</v>
      </c>
      <c r="C339" s="148">
        <f t="shared" si="28"/>
        <v>0</v>
      </c>
      <c r="D339" s="148">
        <f t="shared" si="29"/>
        <v>0</v>
      </c>
      <c r="E339" s="348">
        <f t="shared" si="30"/>
        <v>0</v>
      </c>
      <c r="F339" s="148">
        <f t="shared" si="31"/>
        <v>0</v>
      </c>
      <c r="G339" s="149">
        <f t="shared" si="32"/>
        <v>0</v>
      </c>
    </row>
    <row r="340" spans="1:7" ht="12.75" hidden="1">
      <c r="A340" s="22">
        <f t="shared" si="33"/>
        <v>320</v>
      </c>
      <c r="B340" s="148">
        <f t="shared" si="34"/>
        <v>0</v>
      </c>
      <c r="C340" s="148">
        <f t="shared" si="28"/>
        <v>0</v>
      </c>
      <c r="D340" s="148">
        <f t="shared" si="29"/>
        <v>0</v>
      </c>
      <c r="E340" s="348">
        <f t="shared" si="30"/>
        <v>0</v>
      </c>
      <c r="F340" s="148">
        <f t="shared" si="31"/>
        <v>0</v>
      </c>
      <c r="G340" s="149">
        <f t="shared" si="32"/>
        <v>0</v>
      </c>
    </row>
    <row r="341" spans="1:7" ht="12.75" hidden="1">
      <c r="A341" s="22">
        <f t="shared" si="33"/>
        <v>321</v>
      </c>
      <c r="B341" s="148">
        <f t="shared" si="34"/>
        <v>0</v>
      </c>
      <c r="C341" s="148">
        <f aca="true" t="shared" si="35" ref="C341:C380">IF(A341&lt;=$D$9,$D$14*-1,0)</f>
        <v>0</v>
      </c>
      <c r="D341" s="148">
        <f aca="true" t="shared" si="36" ref="D341:D380">IF(A341&gt;$D$9,0,$D$11*-1)</f>
        <v>0</v>
      </c>
      <c r="E341" s="348">
        <f aca="true" t="shared" si="37" ref="E341:E380">B341*$D$10</f>
        <v>0</v>
      </c>
      <c r="F341" s="148">
        <f aca="true" t="shared" si="38" ref="F341:F380">D341-E341</f>
        <v>0</v>
      </c>
      <c r="G341" s="149">
        <f aca="true" t="shared" si="39" ref="G341:G380">B341-F341</f>
        <v>0</v>
      </c>
    </row>
    <row r="342" spans="1:7" ht="12.75" hidden="1">
      <c r="A342" s="22">
        <f aca="true" t="shared" si="40" ref="A342:A380">A341+1</f>
        <v>322</v>
      </c>
      <c r="B342" s="148">
        <f aca="true" t="shared" si="41" ref="B342:B380">IF(A342&lt;=$D$9,G341,0)</f>
        <v>0</v>
      </c>
      <c r="C342" s="148">
        <f t="shared" si="35"/>
        <v>0</v>
      </c>
      <c r="D342" s="148">
        <f t="shared" si="36"/>
        <v>0</v>
      </c>
      <c r="E342" s="348">
        <f t="shared" si="37"/>
        <v>0</v>
      </c>
      <c r="F342" s="148">
        <f t="shared" si="38"/>
        <v>0</v>
      </c>
      <c r="G342" s="149">
        <f t="shared" si="39"/>
        <v>0</v>
      </c>
    </row>
    <row r="343" spans="1:7" ht="12.75" hidden="1">
      <c r="A343" s="22">
        <f t="shared" si="40"/>
        <v>323</v>
      </c>
      <c r="B343" s="148">
        <f t="shared" si="41"/>
        <v>0</v>
      </c>
      <c r="C343" s="148">
        <f t="shared" si="35"/>
        <v>0</v>
      </c>
      <c r="D343" s="148">
        <f t="shared" si="36"/>
        <v>0</v>
      </c>
      <c r="E343" s="348">
        <f t="shared" si="37"/>
        <v>0</v>
      </c>
      <c r="F343" s="148">
        <f t="shared" si="38"/>
        <v>0</v>
      </c>
      <c r="G343" s="149">
        <f t="shared" si="39"/>
        <v>0</v>
      </c>
    </row>
    <row r="344" spans="1:7" ht="12.75" hidden="1">
      <c r="A344" s="22">
        <f t="shared" si="40"/>
        <v>324</v>
      </c>
      <c r="B344" s="148">
        <f t="shared" si="41"/>
        <v>0</v>
      </c>
      <c r="C344" s="148">
        <f t="shared" si="35"/>
        <v>0</v>
      </c>
      <c r="D344" s="148">
        <f t="shared" si="36"/>
        <v>0</v>
      </c>
      <c r="E344" s="348">
        <f t="shared" si="37"/>
        <v>0</v>
      </c>
      <c r="F344" s="148">
        <f t="shared" si="38"/>
        <v>0</v>
      </c>
      <c r="G344" s="149">
        <f t="shared" si="39"/>
        <v>0</v>
      </c>
    </row>
    <row r="345" spans="1:7" ht="12.75" hidden="1">
      <c r="A345" s="22">
        <f t="shared" si="40"/>
        <v>325</v>
      </c>
      <c r="B345" s="148">
        <f t="shared" si="41"/>
        <v>0</v>
      </c>
      <c r="C345" s="148">
        <f t="shared" si="35"/>
        <v>0</v>
      </c>
      <c r="D345" s="148">
        <f t="shared" si="36"/>
        <v>0</v>
      </c>
      <c r="E345" s="348">
        <f t="shared" si="37"/>
        <v>0</v>
      </c>
      <c r="F345" s="148">
        <f t="shared" si="38"/>
        <v>0</v>
      </c>
      <c r="G345" s="149">
        <f t="shared" si="39"/>
        <v>0</v>
      </c>
    </row>
    <row r="346" spans="1:7" ht="12.75" hidden="1">
      <c r="A346" s="22">
        <f t="shared" si="40"/>
        <v>326</v>
      </c>
      <c r="B346" s="148">
        <f t="shared" si="41"/>
        <v>0</v>
      </c>
      <c r="C346" s="148">
        <f t="shared" si="35"/>
        <v>0</v>
      </c>
      <c r="D346" s="148">
        <f t="shared" si="36"/>
        <v>0</v>
      </c>
      <c r="E346" s="348">
        <f t="shared" si="37"/>
        <v>0</v>
      </c>
      <c r="F346" s="148">
        <f t="shared" si="38"/>
        <v>0</v>
      </c>
      <c r="G346" s="149">
        <f t="shared" si="39"/>
        <v>0</v>
      </c>
    </row>
    <row r="347" spans="1:7" ht="12.75" hidden="1">
      <c r="A347" s="22">
        <f t="shared" si="40"/>
        <v>327</v>
      </c>
      <c r="B347" s="148">
        <f t="shared" si="41"/>
        <v>0</v>
      </c>
      <c r="C347" s="148">
        <f t="shared" si="35"/>
        <v>0</v>
      </c>
      <c r="D347" s="148">
        <f t="shared" si="36"/>
        <v>0</v>
      </c>
      <c r="E347" s="348">
        <f t="shared" si="37"/>
        <v>0</v>
      </c>
      <c r="F347" s="148">
        <f t="shared" si="38"/>
        <v>0</v>
      </c>
      <c r="G347" s="149">
        <f t="shared" si="39"/>
        <v>0</v>
      </c>
    </row>
    <row r="348" spans="1:7" ht="12.75" hidden="1">
      <c r="A348" s="22">
        <f t="shared" si="40"/>
        <v>328</v>
      </c>
      <c r="B348" s="148">
        <f t="shared" si="41"/>
        <v>0</v>
      </c>
      <c r="C348" s="148">
        <f t="shared" si="35"/>
        <v>0</v>
      </c>
      <c r="D348" s="148">
        <f t="shared" si="36"/>
        <v>0</v>
      </c>
      <c r="E348" s="348">
        <f t="shared" si="37"/>
        <v>0</v>
      </c>
      <c r="F348" s="148">
        <f t="shared" si="38"/>
        <v>0</v>
      </c>
      <c r="G348" s="149">
        <f t="shared" si="39"/>
        <v>0</v>
      </c>
    </row>
    <row r="349" spans="1:7" ht="12.75" hidden="1">
      <c r="A349" s="22">
        <f t="shared" si="40"/>
        <v>329</v>
      </c>
      <c r="B349" s="148">
        <f t="shared" si="41"/>
        <v>0</v>
      </c>
      <c r="C349" s="148">
        <f t="shared" si="35"/>
        <v>0</v>
      </c>
      <c r="D349" s="148">
        <f t="shared" si="36"/>
        <v>0</v>
      </c>
      <c r="E349" s="348">
        <f t="shared" si="37"/>
        <v>0</v>
      </c>
      <c r="F349" s="148">
        <f t="shared" si="38"/>
        <v>0</v>
      </c>
      <c r="G349" s="149">
        <f t="shared" si="39"/>
        <v>0</v>
      </c>
    </row>
    <row r="350" spans="1:7" ht="12.75" hidden="1">
      <c r="A350" s="22">
        <f t="shared" si="40"/>
        <v>330</v>
      </c>
      <c r="B350" s="148">
        <f t="shared" si="41"/>
        <v>0</v>
      </c>
      <c r="C350" s="148">
        <f t="shared" si="35"/>
        <v>0</v>
      </c>
      <c r="D350" s="148">
        <f t="shared" si="36"/>
        <v>0</v>
      </c>
      <c r="E350" s="348">
        <f t="shared" si="37"/>
        <v>0</v>
      </c>
      <c r="F350" s="148">
        <f t="shared" si="38"/>
        <v>0</v>
      </c>
      <c r="G350" s="149">
        <f t="shared" si="39"/>
        <v>0</v>
      </c>
    </row>
    <row r="351" spans="1:7" ht="12.75" hidden="1">
      <c r="A351" s="22">
        <f t="shared" si="40"/>
        <v>331</v>
      </c>
      <c r="B351" s="148">
        <f t="shared" si="41"/>
        <v>0</v>
      </c>
      <c r="C351" s="148">
        <f t="shared" si="35"/>
        <v>0</v>
      </c>
      <c r="D351" s="148">
        <f t="shared" si="36"/>
        <v>0</v>
      </c>
      <c r="E351" s="348">
        <f t="shared" si="37"/>
        <v>0</v>
      </c>
      <c r="F351" s="148">
        <f t="shared" si="38"/>
        <v>0</v>
      </c>
      <c r="G351" s="149">
        <f t="shared" si="39"/>
        <v>0</v>
      </c>
    </row>
    <row r="352" spans="1:7" ht="12.75" hidden="1">
      <c r="A352" s="22">
        <f t="shared" si="40"/>
        <v>332</v>
      </c>
      <c r="B352" s="148">
        <f t="shared" si="41"/>
        <v>0</v>
      </c>
      <c r="C352" s="148">
        <f t="shared" si="35"/>
        <v>0</v>
      </c>
      <c r="D352" s="148">
        <f t="shared" si="36"/>
        <v>0</v>
      </c>
      <c r="E352" s="348">
        <f t="shared" si="37"/>
        <v>0</v>
      </c>
      <c r="F352" s="148">
        <f t="shared" si="38"/>
        <v>0</v>
      </c>
      <c r="G352" s="149">
        <f t="shared" si="39"/>
        <v>0</v>
      </c>
    </row>
    <row r="353" spans="1:7" ht="12.75" hidden="1">
      <c r="A353" s="22">
        <f t="shared" si="40"/>
        <v>333</v>
      </c>
      <c r="B353" s="148">
        <f t="shared" si="41"/>
        <v>0</v>
      </c>
      <c r="C353" s="148">
        <f t="shared" si="35"/>
        <v>0</v>
      </c>
      <c r="D353" s="148">
        <f t="shared" si="36"/>
        <v>0</v>
      </c>
      <c r="E353" s="348">
        <f t="shared" si="37"/>
        <v>0</v>
      </c>
      <c r="F353" s="148">
        <f t="shared" si="38"/>
        <v>0</v>
      </c>
      <c r="G353" s="149">
        <f t="shared" si="39"/>
        <v>0</v>
      </c>
    </row>
    <row r="354" spans="1:7" ht="12.75" hidden="1">
      <c r="A354" s="22">
        <f t="shared" si="40"/>
        <v>334</v>
      </c>
      <c r="B354" s="148">
        <f t="shared" si="41"/>
        <v>0</v>
      </c>
      <c r="C354" s="148">
        <f t="shared" si="35"/>
        <v>0</v>
      </c>
      <c r="D354" s="148">
        <f t="shared" si="36"/>
        <v>0</v>
      </c>
      <c r="E354" s="348">
        <f t="shared" si="37"/>
        <v>0</v>
      </c>
      <c r="F354" s="148">
        <f t="shared" si="38"/>
        <v>0</v>
      </c>
      <c r="G354" s="149">
        <f t="shared" si="39"/>
        <v>0</v>
      </c>
    </row>
    <row r="355" spans="1:7" ht="12.75" hidden="1">
      <c r="A355" s="22">
        <f t="shared" si="40"/>
        <v>335</v>
      </c>
      <c r="B355" s="148">
        <f t="shared" si="41"/>
        <v>0</v>
      </c>
      <c r="C355" s="148">
        <f t="shared" si="35"/>
        <v>0</v>
      </c>
      <c r="D355" s="148">
        <f t="shared" si="36"/>
        <v>0</v>
      </c>
      <c r="E355" s="348">
        <f t="shared" si="37"/>
        <v>0</v>
      </c>
      <c r="F355" s="148">
        <f t="shared" si="38"/>
        <v>0</v>
      </c>
      <c r="G355" s="149">
        <f t="shared" si="39"/>
        <v>0</v>
      </c>
    </row>
    <row r="356" spans="1:7" ht="12.75" hidden="1">
      <c r="A356" s="22">
        <f t="shared" si="40"/>
        <v>336</v>
      </c>
      <c r="B356" s="148">
        <f t="shared" si="41"/>
        <v>0</v>
      </c>
      <c r="C356" s="148">
        <f t="shared" si="35"/>
        <v>0</v>
      </c>
      <c r="D356" s="148">
        <f t="shared" si="36"/>
        <v>0</v>
      </c>
      <c r="E356" s="348">
        <f t="shared" si="37"/>
        <v>0</v>
      </c>
      <c r="F356" s="148">
        <f t="shared" si="38"/>
        <v>0</v>
      </c>
      <c r="G356" s="149">
        <f t="shared" si="39"/>
        <v>0</v>
      </c>
    </row>
    <row r="357" spans="1:7" ht="12.75" hidden="1">
      <c r="A357" s="22">
        <f t="shared" si="40"/>
        <v>337</v>
      </c>
      <c r="B357" s="148">
        <f t="shared" si="41"/>
        <v>0</v>
      </c>
      <c r="C357" s="148">
        <f t="shared" si="35"/>
        <v>0</v>
      </c>
      <c r="D357" s="148">
        <f t="shared" si="36"/>
        <v>0</v>
      </c>
      <c r="E357" s="348">
        <f t="shared" si="37"/>
        <v>0</v>
      </c>
      <c r="F357" s="148">
        <f t="shared" si="38"/>
        <v>0</v>
      </c>
      <c r="G357" s="149">
        <f t="shared" si="39"/>
        <v>0</v>
      </c>
    </row>
    <row r="358" spans="1:7" ht="12.75" hidden="1">
      <c r="A358" s="22">
        <f t="shared" si="40"/>
        <v>338</v>
      </c>
      <c r="B358" s="148">
        <f t="shared" si="41"/>
        <v>0</v>
      </c>
      <c r="C358" s="148">
        <f t="shared" si="35"/>
        <v>0</v>
      </c>
      <c r="D358" s="148">
        <f t="shared" si="36"/>
        <v>0</v>
      </c>
      <c r="E358" s="348">
        <f t="shared" si="37"/>
        <v>0</v>
      </c>
      <c r="F358" s="148">
        <f t="shared" si="38"/>
        <v>0</v>
      </c>
      <c r="G358" s="149">
        <f t="shared" si="39"/>
        <v>0</v>
      </c>
    </row>
    <row r="359" spans="1:7" ht="12.75" hidden="1">
      <c r="A359" s="22">
        <f t="shared" si="40"/>
        <v>339</v>
      </c>
      <c r="B359" s="148">
        <f t="shared" si="41"/>
        <v>0</v>
      </c>
      <c r="C359" s="148">
        <f t="shared" si="35"/>
        <v>0</v>
      </c>
      <c r="D359" s="148">
        <f t="shared" si="36"/>
        <v>0</v>
      </c>
      <c r="E359" s="348">
        <f t="shared" si="37"/>
        <v>0</v>
      </c>
      <c r="F359" s="148">
        <f t="shared" si="38"/>
        <v>0</v>
      </c>
      <c r="G359" s="149">
        <f t="shared" si="39"/>
        <v>0</v>
      </c>
    </row>
    <row r="360" spans="1:7" ht="12.75" hidden="1">
      <c r="A360" s="22">
        <f t="shared" si="40"/>
        <v>340</v>
      </c>
      <c r="B360" s="148">
        <f t="shared" si="41"/>
        <v>0</v>
      </c>
      <c r="C360" s="148">
        <f t="shared" si="35"/>
        <v>0</v>
      </c>
      <c r="D360" s="148">
        <f t="shared" si="36"/>
        <v>0</v>
      </c>
      <c r="E360" s="348">
        <f t="shared" si="37"/>
        <v>0</v>
      </c>
      <c r="F360" s="148">
        <f t="shared" si="38"/>
        <v>0</v>
      </c>
      <c r="G360" s="149">
        <f t="shared" si="39"/>
        <v>0</v>
      </c>
    </row>
    <row r="361" spans="1:7" ht="12.75" hidden="1">
      <c r="A361" s="22">
        <f t="shared" si="40"/>
        <v>341</v>
      </c>
      <c r="B361" s="148">
        <f t="shared" si="41"/>
        <v>0</v>
      </c>
      <c r="C361" s="148">
        <f t="shared" si="35"/>
        <v>0</v>
      </c>
      <c r="D361" s="148">
        <f t="shared" si="36"/>
        <v>0</v>
      </c>
      <c r="E361" s="348">
        <f t="shared" si="37"/>
        <v>0</v>
      </c>
      <c r="F361" s="148">
        <f t="shared" si="38"/>
        <v>0</v>
      </c>
      <c r="G361" s="149">
        <f t="shared" si="39"/>
        <v>0</v>
      </c>
    </row>
    <row r="362" spans="1:7" ht="12.75" hidden="1">
      <c r="A362" s="22">
        <f t="shared" si="40"/>
        <v>342</v>
      </c>
      <c r="B362" s="148">
        <f t="shared" si="41"/>
        <v>0</v>
      </c>
      <c r="C362" s="148">
        <f t="shared" si="35"/>
        <v>0</v>
      </c>
      <c r="D362" s="148">
        <f t="shared" si="36"/>
        <v>0</v>
      </c>
      <c r="E362" s="348">
        <f t="shared" si="37"/>
        <v>0</v>
      </c>
      <c r="F362" s="148">
        <f t="shared" si="38"/>
        <v>0</v>
      </c>
      <c r="G362" s="149">
        <f t="shared" si="39"/>
        <v>0</v>
      </c>
    </row>
    <row r="363" spans="1:7" ht="12.75" hidden="1">
      <c r="A363" s="22">
        <f t="shared" si="40"/>
        <v>343</v>
      </c>
      <c r="B363" s="148">
        <f t="shared" si="41"/>
        <v>0</v>
      </c>
      <c r="C363" s="148">
        <f t="shared" si="35"/>
        <v>0</v>
      </c>
      <c r="D363" s="148">
        <f t="shared" si="36"/>
        <v>0</v>
      </c>
      <c r="E363" s="348">
        <f t="shared" si="37"/>
        <v>0</v>
      </c>
      <c r="F363" s="148">
        <f t="shared" si="38"/>
        <v>0</v>
      </c>
      <c r="G363" s="149">
        <f t="shared" si="39"/>
        <v>0</v>
      </c>
    </row>
    <row r="364" spans="1:7" ht="12.75" hidden="1">
      <c r="A364" s="22">
        <f t="shared" si="40"/>
        <v>344</v>
      </c>
      <c r="B364" s="148">
        <f t="shared" si="41"/>
        <v>0</v>
      </c>
      <c r="C364" s="148">
        <f t="shared" si="35"/>
        <v>0</v>
      </c>
      <c r="D364" s="148">
        <f t="shared" si="36"/>
        <v>0</v>
      </c>
      <c r="E364" s="348">
        <f t="shared" si="37"/>
        <v>0</v>
      </c>
      <c r="F364" s="148">
        <f t="shared" si="38"/>
        <v>0</v>
      </c>
      <c r="G364" s="149">
        <f t="shared" si="39"/>
        <v>0</v>
      </c>
    </row>
    <row r="365" spans="1:7" ht="12.75" hidden="1">
      <c r="A365" s="22">
        <f t="shared" si="40"/>
        <v>345</v>
      </c>
      <c r="B365" s="148">
        <f t="shared" si="41"/>
        <v>0</v>
      </c>
      <c r="C365" s="148">
        <f t="shared" si="35"/>
        <v>0</v>
      </c>
      <c r="D365" s="148">
        <f t="shared" si="36"/>
        <v>0</v>
      </c>
      <c r="E365" s="348">
        <f t="shared" si="37"/>
        <v>0</v>
      </c>
      <c r="F365" s="148">
        <f t="shared" si="38"/>
        <v>0</v>
      </c>
      <c r="G365" s="149">
        <f t="shared" si="39"/>
        <v>0</v>
      </c>
    </row>
    <row r="366" spans="1:7" ht="12.75" hidden="1">
      <c r="A366" s="22">
        <f t="shared" si="40"/>
        <v>346</v>
      </c>
      <c r="B366" s="148">
        <f t="shared" si="41"/>
        <v>0</v>
      </c>
      <c r="C366" s="148">
        <f t="shared" si="35"/>
        <v>0</v>
      </c>
      <c r="D366" s="148">
        <f t="shared" si="36"/>
        <v>0</v>
      </c>
      <c r="E366" s="348">
        <f t="shared" si="37"/>
        <v>0</v>
      </c>
      <c r="F366" s="148">
        <f t="shared" si="38"/>
        <v>0</v>
      </c>
      <c r="G366" s="149">
        <f t="shared" si="39"/>
        <v>0</v>
      </c>
    </row>
    <row r="367" spans="1:7" ht="12.75" hidden="1">
      <c r="A367" s="22">
        <f t="shared" si="40"/>
        <v>347</v>
      </c>
      <c r="B367" s="148">
        <f t="shared" si="41"/>
        <v>0</v>
      </c>
      <c r="C367" s="148">
        <f t="shared" si="35"/>
        <v>0</v>
      </c>
      <c r="D367" s="148">
        <f t="shared" si="36"/>
        <v>0</v>
      </c>
      <c r="E367" s="348">
        <f t="shared" si="37"/>
        <v>0</v>
      </c>
      <c r="F367" s="148">
        <f t="shared" si="38"/>
        <v>0</v>
      </c>
      <c r="G367" s="149">
        <f t="shared" si="39"/>
        <v>0</v>
      </c>
    </row>
    <row r="368" spans="1:7" ht="12.75" hidden="1">
      <c r="A368" s="22">
        <f t="shared" si="40"/>
        <v>348</v>
      </c>
      <c r="B368" s="148">
        <f t="shared" si="41"/>
        <v>0</v>
      </c>
      <c r="C368" s="148">
        <f t="shared" si="35"/>
        <v>0</v>
      </c>
      <c r="D368" s="148">
        <f t="shared" si="36"/>
        <v>0</v>
      </c>
      <c r="E368" s="348">
        <f t="shared" si="37"/>
        <v>0</v>
      </c>
      <c r="F368" s="148">
        <f t="shared" si="38"/>
        <v>0</v>
      </c>
      <c r="G368" s="149">
        <f t="shared" si="39"/>
        <v>0</v>
      </c>
    </row>
    <row r="369" spans="1:7" ht="12.75" hidden="1">
      <c r="A369" s="22">
        <f t="shared" si="40"/>
        <v>349</v>
      </c>
      <c r="B369" s="148">
        <f t="shared" si="41"/>
        <v>0</v>
      </c>
      <c r="C369" s="148">
        <f t="shared" si="35"/>
        <v>0</v>
      </c>
      <c r="D369" s="148">
        <f t="shared" si="36"/>
        <v>0</v>
      </c>
      <c r="E369" s="348">
        <f t="shared" si="37"/>
        <v>0</v>
      </c>
      <c r="F369" s="148">
        <f t="shared" si="38"/>
        <v>0</v>
      </c>
      <c r="G369" s="149">
        <f t="shared" si="39"/>
        <v>0</v>
      </c>
    </row>
    <row r="370" spans="1:7" ht="12.75" hidden="1">
      <c r="A370" s="22">
        <f t="shared" si="40"/>
        <v>350</v>
      </c>
      <c r="B370" s="148">
        <f t="shared" si="41"/>
        <v>0</v>
      </c>
      <c r="C370" s="148">
        <f t="shared" si="35"/>
        <v>0</v>
      </c>
      <c r="D370" s="148">
        <f t="shared" si="36"/>
        <v>0</v>
      </c>
      <c r="E370" s="348">
        <f t="shared" si="37"/>
        <v>0</v>
      </c>
      <c r="F370" s="148">
        <f t="shared" si="38"/>
        <v>0</v>
      </c>
      <c r="G370" s="149">
        <f t="shared" si="39"/>
        <v>0</v>
      </c>
    </row>
    <row r="371" spans="1:7" ht="12.75" hidden="1">
      <c r="A371" s="22">
        <f t="shared" si="40"/>
        <v>351</v>
      </c>
      <c r="B371" s="148">
        <f t="shared" si="41"/>
        <v>0</v>
      </c>
      <c r="C371" s="148">
        <f t="shared" si="35"/>
        <v>0</v>
      </c>
      <c r="D371" s="148">
        <f t="shared" si="36"/>
        <v>0</v>
      </c>
      <c r="E371" s="348">
        <f t="shared" si="37"/>
        <v>0</v>
      </c>
      <c r="F371" s="148">
        <f t="shared" si="38"/>
        <v>0</v>
      </c>
      <c r="G371" s="149">
        <f t="shared" si="39"/>
        <v>0</v>
      </c>
    </row>
    <row r="372" spans="1:7" ht="12.75" hidden="1">
      <c r="A372" s="22">
        <f t="shared" si="40"/>
        <v>352</v>
      </c>
      <c r="B372" s="148">
        <f t="shared" si="41"/>
        <v>0</v>
      </c>
      <c r="C372" s="148">
        <f t="shared" si="35"/>
        <v>0</v>
      </c>
      <c r="D372" s="148">
        <f t="shared" si="36"/>
        <v>0</v>
      </c>
      <c r="E372" s="348">
        <f t="shared" si="37"/>
        <v>0</v>
      </c>
      <c r="F372" s="148">
        <f t="shared" si="38"/>
        <v>0</v>
      </c>
      <c r="G372" s="149">
        <f t="shared" si="39"/>
        <v>0</v>
      </c>
    </row>
    <row r="373" spans="1:7" ht="12.75" hidden="1">
      <c r="A373" s="22">
        <f t="shared" si="40"/>
        <v>353</v>
      </c>
      <c r="B373" s="148">
        <f t="shared" si="41"/>
        <v>0</v>
      </c>
      <c r="C373" s="148">
        <f t="shared" si="35"/>
        <v>0</v>
      </c>
      <c r="D373" s="148">
        <f t="shared" si="36"/>
        <v>0</v>
      </c>
      <c r="E373" s="348">
        <f t="shared" si="37"/>
        <v>0</v>
      </c>
      <c r="F373" s="148">
        <f t="shared" si="38"/>
        <v>0</v>
      </c>
      <c r="G373" s="149">
        <f t="shared" si="39"/>
        <v>0</v>
      </c>
    </row>
    <row r="374" spans="1:7" ht="12.75" hidden="1">
      <c r="A374" s="22">
        <f t="shared" si="40"/>
        <v>354</v>
      </c>
      <c r="B374" s="148">
        <f t="shared" si="41"/>
        <v>0</v>
      </c>
      <c r="C374" s="148">
        <f t="shared" si="35"/>
        <v>0</v>
      </c>
      <c r="D374" s="148">
        <f t="shared" si="36"/>
        <v>0</v>
      </c>
      <c r="E374" s="348">
        <f t="shared" si="37"/>
        <v>0</v>
      </c>
      <c r="F374" s="148">
        <f t="shared" si="38"/>
        <v>0</v>
      </c>
      <c r="G374" s="149">
        <f t="shared" si="39"/>
        <v>0</v>
      </c>
    </row>
    <row r="375" spans="1:7" ht="12.75" hidden="1">
      <c r="A375" s="22">
        <f t="shared" si="40"/>
        <v>355</v>
      </c>
      <c r="B375" s="148">
        <f t="shared" si="41"/>
        <v>0</v>
      </c>
      <c r="C375" s="148">
        <f t="shared" si="35"/>
        <v>0</v>
      </c>
      <c r="D375" s="148">
        <f t="shared" si="36"/>
        <v>0</v>
      </c>
      <c r="E375" s="348">
        <f t="shared" si="37"/>
        <v>0</v>
      </c>
      <c r="F375" s="148">
        <f t="shared" si="38"/>
        <v>0</v>
      </c>
      <c r="G375" s="149">
        <f t="shared" si="39"/>
        <v>0</v>
      </c>
    </row>
    <row r="376" spans="1:7" ht="12.75" hidden="1">
      <c r="A376" s="22">
        <f t="shared" si="40"/>
        <v>356</v>
      </c>
      <c r="B376" s="148">
        <f t="shared" si="41"/>
        <v>0</v>
      </c>
      <c r="C376" s="148">
        <f t="shared" si="35"/>
        <v>0</v>
      </c>
      <c r="D376" s="148">
        <f t="shared" si="36"/>
        <v>0</v>
      </c>
      <c r="E376" s="348">
        <f t="shared" si="37"/>
        <v>0</v>
      </c>
      <c r="F376" s="148">
        <f t="shared" si="38"/>
        <v>0</v>
      </c>
      <c r="G376" s="149">
        <f t="shared" si="39"/>
        <v>0</v>
      </c>
    </row>
    <row r="377" spans="1:7" ht="12.75" hidden="1">
      <c r="A377" s="22">
        <f t="shared" si="40"/>
        <v>357</v>
      </c>
      <c r="B377" s="148">
        <f t="shared" si="41"/>
        <v>0</v>
      </c>
      <c r="C377" s="148">
        <f t="shared" si="35"/>
        <v>0</v>
      </c>
      <c r="D377" s="148">
        <f t="shared" si="36"/>
        <v>0</v>
      </c>
      <c r="E377" s="348">
        <f t="shared" si="37"/>
        <v>0</v>
      </c>
      <c r="F377" s="148">
        <f t="shared" si="38"/>
        <v>0</v>
      </c>
      <c r="G377" s="149">
        <f t="shared" si="39"/>
        <v>0</v>
      </c>
    </row>
    <row r="378" spans="1:7" ht="12.75" hidden="1">
      <c r="A378" s="22">
        <f t="shared" si="40"/>
        <v>358</v>
      </c>
      <c r="B378" s="148">
        <f t="shared" si="41"/>
        <v>0</v>
      </c>
      <c r="C378" s="148">
        <f t="shared" si="35"/>
        <v>0</v>
      </c>
      <c r="D378" s="148">
        <f t="shared" si="36"/>
        <v>0</v>
      </c>
      <c r="E378" s="348">
        <f t="shared" si="37"/>
        <v>0</v>
      </c>
      <c r="F378" s="148">
        <f t="shared" si="38"/>
        <v>0</v>
      </c>
      <c r="G378" s="149">
        <f t="shared" si="39"/>
        <v>0</v>
      </c>
    </row>
    <row r="379" spans="1:7" ht="12.75" hidden="1">
      <c r="A379" s="22">
        <f t="shared" si="40"/>
        <v>359</v>
      </c>
      <c r="B379" s="148">
        <f t="shared" si="41"/>
        <v>0</v>
      </c>
      <c r="C379" s="148">
        <f t="shared" si="35"/>
        <v>0</v>
      </c>
      <c r="D379" s="148">
        <f t="shared" si="36"/>
        <v>0</v>
      </c>
      <c r="E379" s="348">
        <f t="shared" si="37"/>
        <v>0</v>
      </c>
      <c r="F379" s="148">
        <f t="shared" si="38"/>
        <v>0</v>
      </c>
      <c r="G379" s="149">
        <f t="shared" si="39"/>
        <v>0</v>
      </c>
    </row>
    <row r="380" spans="1:7" ht="13.5" hidden="1" thickBot="1">
      <c r="A380" s="22">
        <f t="shared" si="40"/>
        <v>360</v>
      </c>
      <c r="B380" s="148">
        <f t="shared" si="41"/>
        <v>0</v>
      </c>
      <c r="C380" s="148">
        <f t="shared" si="35"/>
        <v>0</v>
      </c>
      <c r="D380" s="148">
        <f t="shared" si="36"/>
        <v>0</v>
      </c>
      <c r="E380" s="348">
        <f t="shared" si="37"/>
        <v>0</v>
      </c>
      <c r="F380" s="148">
        <f t="shared" si="38"/>
        <v>0</v>
      </c>
      <c r="G380" s="149">
        <f t="shared" si="39"/>
        <v>0</v>
      </c>
    </row>
    <row r="381" spans="1:7" ht="13.5" thickBot="1">
      <c r="A381" s="349" t="s">
        <v>191</v>
      </c>
      <c r="B381" s="350"/>
      <c r="C381" s="350">
        <f>SUM(C21:C380)</f>
        <v>1165909.6291880235</v>
      </c>
      <c r="D381" s="350">
        <f>SUM(D21:D380)</f>
        <v>1165909.6291880235</v>
      </c>
      <c r="E381" s="350">
        <f>SUM(E21:E380)</f>
        <v>155909.62918802482</v>
      </c>
      <c r="F381" s="350">
        <f>SUM(F21:F380)</f>
        <v>1009999.9999999986</v>
      </c>
      <c r="G381" s="351"/>
    </row>
    <row r="382" spans="1:7" ht="12.75">
      <c r="A382" s="87"/>
      <c r="B382" s="148"/>
      <c r="C382" s="148"/>
      <c r="D382" s="148"/>
      <c r="E382" s="348"/>
      <c r="F382" s="148"/>
      <c r="G382" s="148"/>
    </row>
    <row r="383" ht="12.75">
      <c r="A383" s="87"/>
    </row>
    <row r="384" ht="12.75">
      <c r="A384" s="87"/>
    </row>
    <row r="385" ht="12.75">
      <c r="A385" s="87"/>
    </row>
    <row r="386" ht="12.75">
      <c r="A386" s="87"/>
    </row>
    <row r="387" ht="12.75">
      <c r="A387" s="87"/>
    </row>
  </sheetData>
  <sheetProtection/>
  <mergeCells count="16">
    <mergeCell ref="E16:G16"/>
    <mergeCell ref="A16:C16"/>
    <mergeCell ref="A13:D13"/>
    <mergeCell ref="A17:D17"/>
    <mergeCell ref="A9:C9"/>
    <mergeCell ref="A10:C10"/>
    <mergeCell ref="A11:C11"/>
    <mergeCell ref="A12:C12"/>
    <mergeCell ref="A5:C5"/>
    <mergeCell ref="A6:C6"/>
    <mergeCell ref="A7:C7"/>
    <mergeCell ref="A8:C8"/>
    <mergeCell ref="A1:G1"/>
    <mergeCell ref="A2:C2"/>
    <mergeCell ref="A3:C3"/>
    <mergeCell ref="A4:C4"/>
  </mergeCells>
  <printOptions/>
  <pageMargins left="0.5905511811023623" right="0.3937007874015748" top="0.3937007874015748" bottom="0.3937007874015748" header="0.5118110236220472" footer="0.5118110236220472"/>
  <pageSetup horizontalDpi="360" verticalDpi="360" orientation="portrait" paperSize="9" scale="95"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29"/>
  <sheetViews>
    <sheetView zoomScale="140" zoomScaleNormal="140" workbookViewId="0" topLeftCell="A1">
      <selection activeCell="H7" sqref="H7"/>
    </sheetView>
  </sheetViews>
  <sheetFormatPr defaultColWidth="9.140625" defaultRowHeight="12.75"/>
  <cols>
    <col min="1" max="1" width="21.7109375" style="0" customWidth="1"/>
    <col min="2" max="2" width="5.28125" style="0" customWidth="1"/>
    <col min="3" max="3" width="3.28125" style="0" customWidth="1"/>
    <col min="4" max="4" width="19.7109375" style="0" customWidth="1"/>
    <col min="5" max="5" width="9.7109375" style="0" customWidth="1"/>
    <col min="6" max="6" width="4.28125" style="0" customWidth="1"/>
    <col min="7" max="7" width="22.00390625" style="0" customWidth="1"/>
  </cols>
  <sheetData>
    <row r="1" spans="1:7" ht="96.75" customHeight="1">
      <c r="A1" s="429" t="s">
        <v>364</v>
      </c>
      <c r="B1" s="430"/>
      <c r="C1" s="430"/>
      <c r="D1" s="430"/>
      <c r="E1" s="430"/>
      <c r="F1" s="430"/>
      <c r="G1" s="430"/>
    </row>
    <row r="2" spans="1:7" ht="20.25" customHeight="1">
      <c r="A2" s="429" t="s">
        <v>327</v>
      </c>
      <c r="B2" s="429"/>
      <c r="C2" s="429"/>
      <c r="D2" s="429"/>
      <c r="E2" s="429"/>
      <c r="F2" s="429"/>
      <c r="G2" s="429"/>
    </row>
    <row r="3" spans="1:7" ht="42" customHeight="1" thickBot="1">
      <c r="A3" s="435" t="s">
        <v>328</v>
      </c>
      <c r="B3" s="462" t="s">
        <v>89</v>
      </c>
      <c r="C3" s="354"/>
      <c r="D3" s="116" t="s">
        <v>329</v>
      </c>
      <c r="E3" s="355" t="s">
        <v>330</v>
      </c>
      <c r="F3" s="464" t="s">
        <v>331</v>
      </c>
      <c r="G3" s="427" t="s">
        <v>332</v>
      </c>
    </row>
    <row r="4" spans="1:7" ht="27.75" customHeight="1">
      <c r="A4" s="425"/>
      <c r="B4" s="462"/>
      <c r="C4" s="354"/>
      <c r="D4" s="463" t="s">
        <v>333</v>
      </c>
      <c r="E4" s="463"/>
      <c r="F4" s="464"/>
      <c r="G4" s="427"/>
    </row>
    <row r="5" spans="1:7" ht="39" customHeight="1" thickBot="1">
      <c r="A5" s="432">
        <f>'Effektiv rente annuitetslån'!D2</f>
        <v>1010000</v>
      </c>
      <c r="B5" s="462" t="s">
        <v>89</v>
      </c>
      <c r="C5" s="354"/>
      <c r="D5" s="116" t="str">
        <f>CONCATENATE("1-(1+",D6,")")</f>
        <v>1-(1+0,06)</v>
      </c>
      <c r="E5" s="358">
        <f>-'Effektiv rente annuitetslån'!D9</f>
        <v>-4</v>
      </c>
      <c r="F5" s="464" t="s">
        <v>331</v>
      </c>
      <c r="G5" s="427" t="s">
        <v>332</v>
      </c>
    </row>
    <row r="6" spans="1:7" ht="20.25" customHeight="1">
      <c r="A6" s="438"/>
      <c r="B6" s="462"/>
      <c r="C6" s="354"/>
      <c r="D6" s="433">
        <f>'Effektiv rente annuitetslån'!D10</f>
        <v>0.06</v>
      </c>
      <c r="E6" s="433"/>
      <c r="F6" s="464"/>
      <c r="G6" s="427"/>
    </row>
    <row r="7" spans="1:7" ht="30" customHeight="1">
      <c r="A7" s="359">
        <f>A5</f>
        <v>1010000</v>
      </c>
      <c r="B7" s="354" t="s">
        <v>89</v>
      </c>
      <c r="C7" s="354"/>
      <c r="D7" s="428">
        <f>ROUNDUP(A5/'Effektiv rente annuitetslån'!D11*-1,6)</f>
        <v>3.465106</v>
      </c>
      <c r="E7" s="428"/>
      <c r="F7" s="356" t="s">
        <v>331</v>
      </c>
      <c r="G7" s="357" t="s">
        <v>332</v>
      </c>
    </row>
    <row r="8" spans="1:7" ht="33.75" customHeight="1">
      <c r="A8" s="361" t="s">
        <v>332</v>
      </c>
      <c r="B8" s="354" t="s">
        <v>89</v>
      </c>
      <c r="C8" s="354"/>
      <c r="D8" s="362">
        <f>'Effektiv rente annuitetslån'!D11*-1</f>
        <v>291477.4072970059</v>
      </c>
      <c r="E8" s="362"/>
      <c r="F8" s="362"/>
      <c r="G8" s="362"/>
    </row>
    <row r="9" spans="1:7" ht="23.25" customHeight="1">
      <c r="A9" s="434" t="s">
        <v>334</v>
      </c>
      <c r="B9" s="434"/>
      <c r="C9" s="434"/>
      <c r="D9" s="434"/>
      <c r="E9" s="434"/>
      <c r="F9" s="434"/>
      <c r="G9" s="434"/>
    </row>
    <row r="10" spans="1:8" ht="42" customHeight="1" thickBot="1">
      <c r="A10" s="437" t="s">
        <v>335</v>
      </c>
      <c r="B10" s="462" t="s">
        <v>89</v>
      </c>
      <c r="C10" s="354"/>
      <c r="D10" s="116" t="s">
        <v>329</v>
      </c>
      <c r="E10" s="355" t="s">
        <v>330</v>
      </c>
      <c r="F10" s="464" t="s">
        <v>331</v>
      </c>
      <c r="G10" s="427" t="str">
        <f>IF('Effektiv rente annuitetslån'!D12=0,"b","b+gebyr")</f>
        <v>b</v>
      </c>
      <c r="H10" s="70"/>
    </row>
    <row r="11" spans="1:8" ht="21" customHeight="1">
      <c r="A11" s="438"/>
      <c r="B11" s="462"/>
      <c r="C11" s="354"/>
      <c r="D11" s="463" t="s">
        <v>333</v>
      </c>
      <c r="E11" s="463"/>
      <c r="F11" s="464"/>
      <c r="G11" s="427"/>
      <c r="H11" s="70"/>
    </row>
    <row r="12" spans="1:7" ht="21" customHeight="1">
      <c r="A12" s="431" t="s">
        <v>336</v>
      </c>
      <c r="B12" s="431"/>
      <c r="C12" s="431"/>
      <c r="D12" s="431"/>
      <c r="E12" s="431"/>
      <c r="F12" s="431"/>
      <c r="G12" s="431"/>
    </row>
    <row r="13" spans="1:7" ht="27.75" thickBot="1">
      <c r="A13" s="426">
        <f>'Effektiv rente annuitetslån'!D5</f>
        <v>974750</v>
      </c>
      <c r="B13" s="462" t="s">
        <v>89</v>
      </c>
      <c r="C13" s="354"/>
      <c r="D13" s="116" t="str">
        <f>D10</f>
        <v>1-(1+ r)</v>
      </c>
      <c r="E13" s="363">
        <f>-'Effektiv rente annuitetslån'!D9</f>
        <v>-4</v>
      </c>
      <c r="F13" s="397" t="str">
        <f>F10</f>
        <v>*</v>
      </c>
      <c r="G13" s="469">
        <f>('Effektiv rente annuitetslån'!D11-'Effektiv rente annuitetslån'!D12)*-1</f>
        <v>291477.4072970059</v>
      </c>
    </row>
    <row r="14" spans="1:7" ht="27">
      <c r="A14" s="426"/>
      <c r="B14" s="462"/>
      <c r="C14" s="354"/>
      <c r="D14" s="463" t="str">
        <f>D11</f>
        <v>r</v>
      </c>
      <c r="E14" s="463"/>
      <c r="F14" s="398"/>
      <c r="G14" s="469"/>
    </row>
    <row r="15" spans="1:7" ht="15.75">
      <c r="A15" s="465" t="s">
        <v>337</v>
      </c>
      <c r="B15" s="465"/>
      <c r="C15" s="465"/>
      <c r="D15" s="465"/>
      <c r="E15" s="465"/>
      <c r="F15" s="465"/>
      <c r="G15" s="465"/>
    </row>
    <row r="16" spans="1:5" ht="38.25" customHeight="1" thickBot="1">
      <c r="A16" s="468">
        <f>A13/G13</f>
        <v>3.344169996018806</v>
      </c>
      <c r="B16" s="439" t="str">
        <f>B13</f>
        <v>=</v>
      </c>
      <c r="C16" s="128"/>
      <c r="D16" s="116" t="str">
        <f>D13</f>
        <v>1-(1+ r)</v>
      </c>
      <c r="E16" s="363">
        <f>E13</f>
        <v>-4</v>
      </c>
    </row>
    <row r="17" spans="1:5" ht="31.5" customHeight="1">
      <c r="A17" s="468"/>
      <c r="B17" s="439"/>
      <c r="C17" s="128"/>
      <c r="D17" s="466" t="str">
        <f>D14</f>
        <v>r</v>
      </c>
      <c r="E17" s="466"/>
    </row>
    <row r="18" spans="1:7" ht="15.75">
      <c r="A18" s="465" t="s">
        <v>338</v>
      </c>
      <c r="B18" s="465"/>
      <c r="C18" s="465"/>
      <c r="D18" s="465"/>
      <c r="E18" s="465"/>
      <c r="F18" s="465"/>
      <c r="G18" s="465"/>
    </row>
    <row r="19" spans="1:4" ht="27">
      <c r="A19" s="364" t="str">
        <f>D17</f>
        <v>r</v>
      </c>
      <c r="B19" s="365" t="str">
        <f>B16</f>
        <v>=</v>
      </c>
      <c r="C19" s="365"/>
      <c r="D19" s="366">
        <f>RATE('Effektiv rente annuitetslån'!D9,'Effektiv rente annuitetslån'!D14,'Effektiv rente annuitetslån'!D5)</f>
        <v>0.07568764320239084</v>
      </c>
    </row>
    <row r="20" spans="1:7" ht="15.75">
      <c r="A20" s="465" t="s">
        <v>339</v>
      </c>
      <c r="B20" s="465"/>
      <c r="C20" s="465"/>
      <c r="D20" s="465"/>
      <c r="E20" s="465"/>
      <c r="F20" s="465"/>
      <c r="G20" s="465"/>
    </row>
    <row r="21" spans="1:7" ht="28.5" thickBot="1">
      <c r="A21" s="367" t="str">
        <f>A19</f>
        <v>r</v>
      </c>
      <c r="B21" s="368" t="str">
        <f>B19</f>
        <v>=</v>
      </c>
      <c r="C21" s="368"/>
      <c r="D21" s="369">
        <f>D19</f>
        <v>0.07568764320239084</v>
      </c>
      <c r="E21" s="442" t="str">
        <f>IF('Effektiv rente annuitetslån'!D8=1,"Årlig rente"," ")</f>
        <v>Årlig rente</v>
      </c>
      <c r="F21" s="442"/>
      <c r="G21" s="442"/>
    </row>
    <row r="22" ht="13.5" thickTop="1"/>
    <row r="23" spans="1:7" ht="18" customHeight="1">
      <c r="A23" s="465" t="str">
        <f>IF('Effektiv rente annuitetslån'!D8=1," ",CONCATENATE("Da terminerne på lånet er ",'Effektiv rente annuitetslån'!D8," gange pr. år skal følgende beregning foretages:"))</f>
        <v> </v>
      </c>
      <c r="B23" s="465"/>
      <c r="C23" s="465"/>
      <c r="D23" s="465"/>
      <c r="E23" s="465"/>
      <c r="F23" s="465"/>
      <c r="G23" s="465"/>
    </row>
    <row r="24" spans="1:7" ht="21">
      <c r="A24" s="370">
        <f>IF('Effektiv rente annuitetslån'!$D$8=1,"","(1+r)")</f>
      </c>
      <c r="B24" s="371">
        <f>IF('Effektiv rente annuitetslån'!D8=1,"",'Effektiv rente annuitetslån'!D8)</f>
      </c>
      <c r="C24" s="370">
        <f>IF('Effektiv rente annuitetslån'!$D$8=1,"","-1")</f>
      </c>
      <c r="D24" s="115">
        <f>IF('Effektiv rente annuitetslån'!$D$8=1,"",CONCATENATE("="," Årlig rente"))</f>
      </c>
      <c r="E24" s="115"/>
      <c r="F24" s="115"/>
      <c r="G24" s="115"/>
    </row>
    <row r="25" spans="1:7" ht="21.75" customHeight="1">
      <c r="A25" s="441">
        <f>IF('Effektiv rente annuitetslån'!$D$8=1,"","Ved at indsætte fås:")</f>
      </c>
      <c r="B25" s="441"/>
      <c r="C25" s="441"/>
      <c r="D25" s="441"/>
      <c r="E25" s="441"/>
      <c r="F25" s="441"/>
      <c r="G25" s="441"/>
    </row>
    <row r="26" spans="1:7" ht="33" customHeight="1">
      <c r="A26" s="373">
        <f>IF('Effektiv rente annuitetslån'!D8=1,"",CONCATENATE("(1+",ROUND(D19,4),")"))</f>
      </c>
      <c r="B26" s="374">
        <f>B24</f>
      </c>
      <c r="C26" s="370">
        <f>IF('Effektiv rente annuitetslån'!$D$8=1,"","-1")</f>
      </c>
      <c r="D26" s="115">
        <f>D24</f>
      </c>
      <c r="E26" s="115"/>
      <c r="F26" s="115"/>
      <c r="G26" s="115"/>
    </row>
    <row r="27" spans="1:7" ht="33" customHeight="1">
      <c r="A27" s="467">
        <f>IF('Effektiv rente annuitetslån'!D8=1,"",'Effektiv rente annuitetslån'!D16)</f>
      </c>
      <c r="B27" s="467"/>
      <c r="C27" s="467"/>
      <c r="D27" s="115">
        <f>D26</f>
      </c>
      <c r="E27" s="375"/>
      <c r="G27" s="376"/>
    </row>
    <row r="28" spans="1:7" ht="15.75">
      <c r="A28" s="436">
        <f>IF('Effektiv rente annuitetslån'!D8=1,"","Eller udtrykt i procent:")</f>
      </c>
      <c r="B28" s="436"/>
      <c r="C28" s="436"/>
      <c r="D28" s="436"/>
      <c r="E28" s="436"/>
      <c r="F28" s="436"/>
      <c r="G28" s="436"/>
    </row>
    <row r="29" spans="1:4" ht="21" customHeight="1">
      <c r="A29" s="440">
        <f>IF('Effektiv rente annuitetslån'!$D$8=1,"",CONCATENATE("Årlig rente = ",ROUND('Effektiv rente annuitetslån'!D16*100,2),"%"))</f>
      </c>
      <c r="B29" s="440"/>
      <c r="C29" s="440"/>
      <c r="D29" s="440"/>
    </row>
  </sheetData>
  <mergeCells count="37">
    <mergeCell ref="A1:G1"/>
    <mergeCell ref="A12:G12"/>
    <mergeCell ref="A15:G15"/>
    <mergeCell ref="A5:A6"/>
    <mergeCell ref="D6:E6"/>
    <mergeCell ref="G3:G4"/>
    <mergeCell ref="A2:G2"/>
    <mergeCell ref="A9:G9"/>
    <mergeCell ref="A3:A4"/>
    <mergeCell ref="F13:F14"/>
    <mergeCell ref="A10:A11"/>
    <mergeCell ref="B13:B14"/>
    <mergeCell ref="A13:A14"/>
    <mergeCell ref="G5:G6"/>
    <mergeCell ref="G10:G11"/>
    <mergeCell ref="B10:B11"/>
    <mergeCell ref="D11:E11"/>
    <mergeCell ref="F10:F11"/>
    <mergeCell ref="D7:E7"/>
    <mergeCell ref="A29:D29"/>
    <mergeCell ref="A25:G25"/>
    <mergeCell ref="A23:G23"/>
    <mergeCell ref="E21:G21"/>
    <mergeCell ref="A28:G28"/>
    <mergeCell ref="A20:G20"/>
    <mergeCell ref="D17:E17"/>
    <mergeCell ref="D14:E14"/>
    <mergeCell ref="A27:C27"/>
    <mergeCell ref="A16:A17"/>
    <mergeCell ref="A18:G18"/>
    <mergeCell ref="G13:G14"/>
    <mergeCell ref="B16:B17"/>
    <mergeCell ref="B3:B4"/>
    <mergeCell ref="D4:E4"/>
    <mergeCell ref="F3:F4"/>
    <mergeCell ref="B5:B6"/>
    <mergeCell ref="F5:F6"/>
  </mergeCells>
  <printOptions/>
  <pageMargins left="0.75" right="0.75" top="1" bottom="1" header="0" footer="0"/>
  <pageSetup fitToHeight="1" fitToWidth="1" horizontalDpi="300" verticalDpi="300" orientation="portrait" paperSize="9" scale="87" r:id="rId1"/>
  <ignoredErrors>
    <ignoredError sqref="E13 C26" formula="1"/>
  </ignoredErrors>
</worksheet>
</file>

<file path=xl/worksheets/sheet9.xml><?xml version="1.0" encoding="utf-8"?>
<worksheet xmlns="http://schemas.openxmlformats.org/spreadsheetml/2006/main" xmlns:r="http://schemas.openxmlformats.org/officeDocument/2006/relationships">
  <dimension ref="A1:K395"/>
  <sheetViews>
    <sheetView zoomScale="150" zoomScaleNormal="150" workbookViewId="0" topLeftCell="A1">
      <selection activeCell="A4" sqref="A4:D4"/>
    </sheetView>
  </sheetViews>
  <sheetFormatPr defaultColWidth="9.140625" defaultRowHeight="12.75"/>
  <cols>
    <col min="1" max="1" width="6.00390625" style="0" customWidth="1"/>
    <col min="2" max="2" width="14.57421875" style="0" customWidth="1"/>
    <col min="3" max="3" width="16.140625" style="0" customWidth="1"/>
    <col min="4" max="4" width="13.421875" style="0" customWidth="1"/>
    <col min="5" max="5" width="11.7109375" style="0" customWidth="1"/>
    <col min="6" max="6" width="12.140625" style="0" customWidth="1"/>
    <col min="7" max="7" width="14.28125" style="0" customWidth="1"/>
  </cols>
  <sheetData>
    <row r="1" spans="1:7" ht="27" thickBot="1">
      <c r="A1" s="446" t="s">
        <v>340</v>
      </c>
      <c r="B1" s="447"/>
      <c r="C1" s="447"/>
      <c r="D1" s="447"/>
      <c r="E1" s="447"/>
      <c r="F1" s="447"/>
      <c r="G1" s="448"/>
    </row>
    <row r="2" spans="1:7" ht="12.75">
      <c r="A2" s="449" t="s">
        <v>341</v>
      </c>
      <c r="B2" s="450"/>
      <c r="C2" s="450"/>
      <c r="D2" s="377">
        <v>1010000</v>
      </c>
      <c r="E2" s="87"/>
      <c r="F2" s="87"/>
      <c r="G2" s="326"/>
    </row>
    <row r="3" spans="1:7" ht="12.75" hidden="1">
      <c r="A3" s="327" t="s">
        <v>279</v>
      </c>
      <c r="B3" s="328"/>
      <c r="C3" s="328"/>
      <c r="D3" s="378">
        <f>D2*-1</f>
        <v>-1010000</v>
      </c>
      <c r="E3" s="87"/>
      <c r="F3" s="87"/>
      <c r="G3" s="326"/>
    </row>
    <row r="4" spans="1:7" ht="12.75">
      <c r="A4" s="451" t="s">
        <v>309</v>
      </c>
      <c r="B4" s="452"/>
      <c r="C4" s="452"/>
      <c r="D4" s="379">
        <v>98</v>
      </c>
      <c r="E4" s="87"/>
      <c r="F4" s="87"/>
      <c r="G4" s="326"/>
    </row>
    <row r="5" spans="1:7" ht="12.75">
      <c r="A5" s="451" t="s">
        <v>342</v>
      </c>
      <c r="B5" s="452"/>
      <c r="C5" s="452"/>
      <c r="D5" s="379">
        <v>15000</v>
      </c>
      <c r="E5" s="87"/>
      <c r="F5" s="87"/>
      <c r="G5" s="326"/>
    </row>
    <row r="6" spans="1:7" ht="13.5" thickBot="1">
      <c r="A6" s="451" t="s">
        <v>311</v>
      </c>
      <c r="B6" s="452"/>
      <c r="C6" s="452"/>
      <c r="D6" s="380">
        <f>(D2*(D4/100))-D5</f>
        <v>974800</v>
      </c>
      <c r="E6" s="87"/>
      <c r="F6" s="87"/>
      <c r="G6" s="326"/>
    </row>
    <row r="7" spans="1:7" ht="13.5" thickTop="1">
      <c r="A7" s="453" t="s">
        <v>312</v>
      </c>
      <c r="B7" s="454"/>
      <c r="C7" s="454"/>
      <c r="D7" s="381">
        <v>0.065</v>
      </c>
      <c r="E7" s="87"/>
      <c r="F7" s="87"/>
      <c r="G7" s="326"/>
    </row>
    <row r="8" spans="1:7" ht="12.75">
      <c r="A8" s="451" t="s">
        <v>313</v>
      </c>
      <c r="B8" s="452"/>
      <c r="C8" s="452"/>
      <c r="D8" s="378">
        <v>4</v>
      </c>
      <c r="E8" s="87"/>
      <c r="F8" s="87"/>
      <c r="G8" s="326"/>
    </row>
    <row r="9" spans="1:7" ht="12.75">
      <c r="A9" s="451" t="s">
        <v>314</v>
      </c>
      <c r="B9" s="452"/>
      <c r="C9" s="452"/>
      <c r="D9" s="378">
        <v>1</v>
      </c>
      <c r="E9" s="87"/>
      <c r="F9" s="87"/>
      <c r="G9" s="326"/>
    </row>
    <row r="10" spans="1:7" ht="12.75">
      <c r="A10" s="451" t="s">
        <v>343</v>
      </c>
      <c r="B10" s="452"/>
      <c r="C10" s="452"/>
      <c r="D10" s="382">
        <f>D8*D9</f>
        <v>4</v>
      </c>
      <c r="E10" s="87"/>
      <c r="F10" s="87"/>
      <c r="G10" s="326"/>
    </row>
    <row r="11" spans="1:7" ht="12.75">
      <c r="A11" s="451" t="s">
        <v>316</v>
      </c>
      <c r="B11" s="452"/>
      <c r="C11" s="452"/>
      <c r="D11" s="335">
        <f>D7/D9</f>
        <v>0.065</v>
      </c>
      <c r="E11" s="87"/>
      <c r="F11" s="87"/>
      <c r="G11" s="326"/>
    </row>
    <row r="12" spans="1:7" ht="12.75">
      <c r="A12" s="451" t="s">
        <v>298</v>
      </c>
      <c r="B12" s="452"/>
      <c r="C12" s="452"/>
      <c r="D12" s="149">
        <f>D3/D10</f>
        <v>-252500</v>
      </c>
      <c r="E12" s="327" t="s">
        <v>344</v>
      </c>
      <c r="F12" s="328"/>
      <c r="G12" s="336"/>
    </row>
    <row r="13" spans="1:7" ht="12.75" hidden="1">
      <c r="A13" s="451" t="s">
        <v>319</v>
      </c>
      <c r="B13" s="452"/>
      <c r="C13" s="452"/>
      <c r="D13" s="379">
        <v>0</v>
      </c>
      <c r="E13" s="87"/>
      <c r="F13" s="87"/>
      <c r="G13" s="326"/>
    </row>
    <row r="14" spans="1:7" ht="12.75">
      <c r="A14" s="456"/>
      <c r="B14" s="457"/>
      <c r="C14" s="457"/>
      <c r="D14" s="458"/>
      <c r="E14" s="87"/>
      <c r="F14" s="87"/>
      <c r="G14" s="326"/>
    </row>
    <row r="15" spans="1:11" ht="18">
      <c r="A15" s="453" t="s">
        <v>345</v>
      </c>
      <c r="B15" s="454"/>
      <c r="C15" s="454"/>
      <c r="D15" s="383">
        <f>(POWER(IRR(C20:C380)+1,D9)-1)</f>
        <v>0.08124908493738792</v>
      </c>
      <c r="E15" s="337" t="str">
        <f>E12</f>
        <v>(Beregning: se note til serielån)</v>
      </c>
      <c r="F15" s="338"/>
      <c r="G15" s="340"/>
      <c r="H15" s="121"/>
      <c r="I15" s="121"/>
      <c r="J15" s="121"/>
      <c r="K15" s="121"/>
    </row>
    <row r="16" spans="1:11" ht="13.5" thickBot="1">
      <c r="A16" s="459"/>
      <c r="B16" s="460"/>
      <c r="C16" s="460"/>
      <c r="D16" s="461"/>
      <c r="E16" s="75"/>
      <c r="F16" s="75"/>
      <c r="G16" s="341"/>
      <c r="H16" s="121"/>
      <c r="I16" s="121"/>
      <c r="J16" s="121"/>
      <c r="K16" s="121"/>
    </row>
    <row r="17" spans="1:11" ht="13.5" thickBot="1">
      <c r="A17" s="122"/>
      <c r="B17" s="69"/>
      <c r="C17" s="69"/>
      <c r="D17" s="123"/>
      <c r="E17" s="123"/>
      <c r="F17" s="123"/>
      <c r="G17" s="343"/>
      <c r="H17" s="121"/>
      <c r="I17" s="121"/>
      <c r="J17" s="121"/>
      <c r="K17" s="121"/>
    </row>
    <row r="18" spans="1:11" ht="12.75">
      <c r="A18" s="384" t="str">
        <f>CONCATENATE("Amortisationstabel for serielån (",D10," terminer)")</f>
        <v>Amortisationstabel for serielån (4 terminer)</v>
      </c>
      <c r="B18" s="135"/>
      <c r="C18" s="135"/>
      <c r="D18" s="135"/>
      <c r="E18" s="135"/>
      <c r="F18" s="135"/>
      <c r="G18" s="127"/>
      <c r="H18" s="121"/>
      <c r="I18" s="121"/>
      <c r="J18" s="121"/>
      <c r="K18" s="121"/>
    </row>
    <row r="19" spans="1:11" ht="12.75">
      <c r="A19" s="12" t="s">
        <v>321</v>
      </c>
      <c r="B19" s="75" t="s">
        <v>322</v>
      </c>
      <c r="C19" s="75" t="s">
        <v>346</v>
      </c>
      <c r="D19" s="192" t="s">
        <v>299</v>
      </c>
      <c r="E19" s="75" t="s">
        <v>325</v>
      </c>
      <c r="F19" s="75" t="s">
        <v>298</v>
      </c>
      <c r="G19" s="341" t="s">
        <v>326</v>
      </c>
      <c r="H19" s="121"/>
      <c r="I19" s="121"/>
      <c r="J19" s="121"/>
      <c r="K19" s="121"/>
    </row>
    <row r="20" spans="1:11" ht="12.75">
      <c r="A20" s="12"/>
      <c r="B20" s="131"/>
      <c r="C20" s="131">
        <f>D20</f>
        <v>-974800</v>
      </c>
      <c r="D20" s="131">
        <f>D6*-1</f>
        <v>-974800</v>
      </c>
      <c r="E20" s="131"/>
      <c r="F20" s="131"/>
      <c r="G20" s="132"/>
      <c r="H20" s="121"/>
      <c r="I20" s="121"/>
      <c r="J20" s="121"/>
      <c r="K20" s="121"/>
    </row>
    <row r="21" spans="1:11" ht="12.75">
      <c r="A21" s="12">
        <v>1</v>
      </c>
      <c r="B21" s="131">
        <f>D2</f>
        <v>1010000</v>
      </c>
      <c r="C21" s="131">
        <f aca="true" t="shared" si="0" ref="C21:C84">IF(A21&lt;=$D$10,D21+$D$13,0)</f>
        <v>318150</v>
      </c>
      <c r="D21" s="131">
        <f aca="true" t="shared" si="1" ref="D21:D84">E21+F21</f>
        <v>318150</v>
      </c>
      <c r="E21" s="131">
        <f aca="true" t="shared" si="2" ref="E21:E84">B21*$D$11</f>
        <v>65650</v>
      </c>
      <c r="F21" s="148">
        <f aca="true" t="shared" si="3" ref="F21:F84">IF(A21&lt;=$D$10,$D$12*-1,0)</f>
        <v>252500</v>
      </c>
      <c r="G21" s="132">
        <f aca="true" t="shared" si="4" ref="G21:G52">B21-F21</f>
        <v>757500</v>
      </c>
      <c r="H21" s="121"/>
      <c r="I21" s="121"/>
      <c r="J21" s="121"/>
      <c r="K21" s="121"/>
    </row>
    <row r="22" spans="1:7" ht="12.75">
      <c r="A22" s="22">
        <f aca="true" t="shared" si="5" ref="A22:A85">A21+1</f>
        <v>2</v>
      </c>
      <c r="B22" s="148">
        <f aca="true" t="shared" si="6" ref="B22:B85">B21-F21</f>
        <v>757500</v>
      </c>
      <c r="C22" s="131">
        <f t="shared" si="0"/>
        <v>301737.5</v>
      </c>
      <c r="D22" s="131">
        <f t="shared" si="1"/>
        <v>301737.5</v>
      </c>
      <c r="E22" s="131">
        <f t="shared" si="2"/>
        <v>49237.5</v>
      </c>
      <c r="F22" s="148">
        <f t="shared" si="3"/>
        <v>252500</v>
      </c>
      <c r="G22" s="132">
        <f t="shared" si="4"/>
        <v>505000</v>
      </c>
    </row>
    <row r="23" spans="1:7" ht="12.75">
      <c r="A23" s="22">
        <f t="shared" si="5"/>
        <v>3</v>
      </c>
      <c r="B23" s="148">
        <f t="shared" si="6"/>
        <v>505000</v>
      </c>
      <c r="C23" s="131">
        <f t="shared" si="0"/>
        <v>285325</v>
      </c>
      <c r="D23" s="131">
        <f t="shared" si="1"/>
        <v>285325</v>
      </c>
      <c r="E23" s="131">
        <f t="shared" si="2"/>
        <v>32825</v>
      </c>
      <c r="F23" s="148">
        <f t="shared" si="3"/>
        <v>252500</v>
      </c>
      <c r="G23" s="132">
        <f t="shared" si="4"/>
        <v>252500</v>
      </c>
    </row>
    <row r="24" spans="1:7" ht="12.75">
      <c r="A24" s="22">
        <f t="shared" si="5"/>
        <v>4</v>
      </c>
      <c r="B24" s="148">
        <f t="shared" si="6"/>
        <v>252500</v>
      </c>
      <c r="C24" s="131">
        <f t="shared" si="0"/>
        <v>268912.5</v>
      </c>
      <c r="D24" s="131">
        <f t="shared" si="1"/>
        <v>268912.5</v>
      </c>
      <c r="E24" s="131">
        <f t="shared" si="2"/>
        <v>16412.5</v>
      </c>
      <c r="F24" s="148">
        <f t="shared" si="3"/>
        <v>252500</v>
      </c>
      <c r="G24" s="132">
        <f t="shared" si="4"/>
        <v>0</v>
      </c>
    </row>
    <row r="25" spans="1:7" ht="12.75">
      <c r="A25" s="22">
        <f t="shared" si="5"/>
        <v>5</v>
      </c>
      <c r="B25" s="148">
        <f t="shared" si="6"/>
        <v>0</v>
      </c>
      <c r="C25" s="131">
        <f t="shared" si="0"/>
        <v>0</v>
      </c>
      <c r="D25" s="131">
        <f t="shared" si="1"/>
        <v>0</v>
      </c>
      <c r="E25" s="131">
        <f t="shared" si="2"/>
        <v>0</v>
      </c>
      <c r="F25" s="148">
        <f t="shared" si="3"/>
        <v>0</v>
      </c>
      <c r="G25" s="132">
        <f t="shared" si="4"/>
        <v>0</v>
      </c>
    </row>
    <row r="26" spans="1:7" ht="12.75">
      <c r="A26" s="22">
        <f t="shared" si="5"/>
        <v>6</v>
      </c>
      <c r="B26" s="148">
        <f t="shared" si="6"/>
        <v>0</v>
      </c>
      <c r="C26" s="131">
        <f t="shared" si="0"/>
        <v>0</v>
      </c>
      <c r="D26" s="131">
        <f t="shared" si="1"/>
        <v>0</v>
      </c>
      <c r="E26" s="131">
        <f t="shared" si="2"/>
        <v>0</v>
      </c>
      <c r="F26" s="148">
        <f t="shared" si="3"/>
        <v>0</v>
      </c>
      <c r="G26" s="132">
        <f t="shared" si="4"/>
        <v>0</v>
      </c>
    </row>
    <row r="27" spans="1:7" ht="12.75">
      <c r="A27" s="22">
        <f t="shared" si="5"/>
        <v>7</v>
      </c>
      <c r="B27" s="148">
        <f t="shared" si="6"/>
        <v>0</v>
      </c>
      <c r="C27" s="131">
        <f t="shared" si="0"/>
        <v>0</v>
      </c>
      <c r="D27" s="131">
        <f t="shared" si="1"/>
        <v>0</v>
      </c>
      <c r="E27" s="131">
        <f t="shared" si="2"/>
        <v>0</v>
      </c>
      <c r="F27" s="148">
        <f t="shared" si="3"/>
        <v>0</v>
      </c>
      <c r="G27" s="132">
        <f t="shared" si="4"/>
        <v>0</v>
      </c>
    </row>
    <row r="28" spans="1:7" ht="12.75">
      <c r="A28" s="22">
        <f t="shared" si="5"/>
        <v>8</v>
      </c>
      <c r="B28" s="148">
        <f t="shared" si="6"/>
        <v>0</v>
      </c>
      <c r="C28" s="131">
        <f t="shared" si="0"/>
        <v>0</v>
      </c>
      <c r="D28" s="131">
        <f t="shared" si="1"/>
        <v>0</v>
      </c>
      <c r="E28" s="131">
        <f t="shared" si="2"/>
        <v>0</v>
      </c>
      <c r="F28" s="148">
        <f t="shared" si="3"/>
        <v>0</v>
      </c>
      <c r="G28" s="132">
        <f t="shared" si="4"/>
        <v>0</v>
      </c>
    </row>
    <row r="29" spans="1:7" ht="12.75">
      <c r="A29" s="22">
        <f t="shared" si="5"/>
        <v>9</v>
      </c>
      <c r="B29" s="148">
        <f t="shared" si="6"/>
        <v>0</v>
      </c>
      <c r="C29" s="131">
        <f t="shared" si="0"/>
        <v>0</v>
      </c>
      <c r="D29" s="131">
        <f t="shared" si="1"/>
        <v>0</v>
      </c>
      <c r="E29" s="131">
        <f t="shared" si="2"/>
        <v>0</v>
      </c>
      <c r="F29" s="148">
        <f t="shared" si="3"/>
        <v>0</v>
      </c>
      <c r="G29" s="132">
        <f t="shared" si="4"/>
        <v>0</v>
      </c>
    </row>
    <row r="30" spans="1:7" ht="12.75">
      <c r="A30" s="22">
        <f t="shared" si="5"/>
        <v>10</v>
      </c>
      <c r="B30" s="148">
        <f t="shared" si="6"/>
        <v>0</v>
      </c>
      <c r="C30" s="131">
        <f t="shared" si="0"/>
        <v>0</v>
      </c>
      <c r="D30" s="131">
        <f t="shared" si="1"/>
        <v>0</v>
      </c>
      <c r="E30" s="131">
        <f t="shared" si="2"/>
        <v>0</v>
      </c>
      <c r="F30" s="148">
        <f t="shared" si="3"/>
        <v>0</v>
      </c>
      <c r="G30" s="132">
        <f t="shared" si="4"/>
        <v>0</v>
      </c>
    </row>
    <row r="31" spans="1:7" ht="12.75">
      <c r="A31" s="22">
        <f t="shared" si="5"/>
        <v>11</v>
      </c>
      <c r="B31" s="148">
        <f t="shared" si="6"/>
        <v>0</v>
      </c>
      <c r="C31" s="131">
        <f t="shared" si="0"/>
        <v>0</v>
      </c>
      <c r="D31" s="131">
        <f t="shared" si="1"/>
        <v>0</v>
      </c>
      <c r="E31" s="131">
        <f t="shared" si="2"/>
        <v>0</v>
      </c>
      <c r="F31" s="148">
        <f t="shared" si="3"/>
        <v>0</v>
      </c>
      <c r="G31" s="132">
        <f t="shared" si="4"/>
        <v>0</v>
      </c>
    </row>
    <row r="32" spans="1:7" ht="12.75">
      <c r="A32" s="22">
        <f t="shared" si="5"/>
        <v>12</v>
      </c>
      <c r="B32" s="148">
        <f t="shared" si="6"/>
        <v>0</v>
      </c>
      <c r="C32" s="131">
        <f t="shared" si="0"/>
        <v>0</v>
      </c>
      <c r="D32" s="131">
        <f t="shared" si="1"/>
        <v>0</v>
      </c>
      <c r="E32" s="131">
        <f t="shared" si="2"/>
        <v>0</v>
      </c>
      <c r="F32" s="148">
        <f t="shared" si="3"/>
        <v>0</v>
      </c>
      <c r="G32" s="132">
        <f t="shared" si="4"/>
        <v>0</v>
      </c>
    </row>
    <row r="33" spans="1:7" ht="12.75">
      <c r="A33" s="22">
        <f t="shared" si="5"/>
        <v>13</v>
      </c>
      <c r="B33" s="148">
        <f t="shared" si="6"/>
        <v>0</v>
      </c>
      <c r="C33" s="131">
        <f t="shared" si="0"/>
        <v>0</v>
      </c>
      <c r="D33" s="131">
        <f t="shared" si="1"/>
        <v>0</v>
      </c>
      <c r="E33" s="131">
        <f t="shared" si="2"/>
        <v>0</v>
      </c>
      <c r="F33" s="148">
        <f t="shared" si="3"/>
        <v>0</v>
      </c>
      <c r="G33" s="132">
        <f t="shared" si="4"/>
        <v>0</v>
      </c>
    </row>
    <row r="34" spans="1:7" ht="12.75">
      <c r="A34" s="22">
        <f t="shared" si="5"/>
        <v>14</v>
      </c>
      <c r="B34" s="148">
        <f t="shared" si="6"/>
        <v>0</v>
      </c>
      <c r="C34" s="131">
        <f t="shared" si="0"/>
        <v>0</v>
      </c>
      <c r="D34" s="131">
        <f t="shared" si="1"/>
        <v>0</v>
      </c>
      <c r="E34" s="131">
        <f t="shared" si="2"/>
        <v>0</v>
      </c>
      <c r="F34" s="148">
        <f t="shared" si="3"/>
        <v>0</v>
      </c>
      <c r="G34" s="132">
        <f t="shared" si="4"/>
        <v>0</v>
      </c>
    </row>
    <row r="35" spans="1:7" ht="12.75">
      <c r="A35" s="22">
        <f t="shared" si="5"/>
        <v>15</v>
      </c>
      <c r="B35" s="148">
        <f t="shared" si="6"/>
        <v>0</v>
      </c>
      <c r="C35" s="131">
        <f t="shared" si="0"/>
        <v>0</v>
      </c>
      <c r="D35" s="131">
        <f t="shared" si="1"/>
        <v>0</v>
      </c>
      <c r="E35" s="131">
        <f t="shared" si="2"/>
        <v>0</v>
      </c>
      <c r="F35" s="148">
        <f t="shared" si="3"/>
        <v>0</v>
      </c>
      <c r="G35" s="132">
        <f t="shared" si="4"/>
        <v>0</v>
      </c>
    </row>
    <row r="36" spans="1:7" ht="12.75">
      <c r="A36" s="22">
        <f t="shared" si="5"/>
        <v>16</v>
      </c>
      <c r="B36" s="148">
        <f t="shared" si="6"/>
        <v>0</v>
      </c>
      <c r="C36" s="131">
        <f t="shared" si="0"/>
        <v>0</v>
      </c>
      <c r="D36" s="131">
        <f t="shared" si="1"/>
        <v>0</v>
      </c>
      <c r="E36" s="131">
        <f t="shared" si="2"/>
        <v>0</v>
      </c>
      <c r="F36" s="148">
        <f t="shared" si="3"/>
        <v>0</v>
      </c>
      <c r="G36" s="132">
        <f t="shared" si="4"/>
        <v>0</v>
      </c>
    </row>
    <row r="37" spans="1:7" ht="12.75">
      <c r="A37" s="22">
        <f t="shared" si="5"/>
        <v>17</v>
      </c>
      <c r="B37" s="148">
        <f t="shared" si="6"/>
        <v>0</v>
      </c>
      <c r="C37" s="131">
        <f t="shared" si="0"/>
        <v>0</v>
      </c>
      <c r="D37" s="131">
        <f t="shared" si="1"/>
        <v>0</v>
      </c>
      <c r="E37" s="131">
        <f t="shared" si="2"/>
        <v>0</v>
      </c>
      <c r="F37" s="148">
        <f t="shared" si="3"/>
        <v>0</v>
      </c>
      <c r="G37" s="132">
        <f t="shared" si="4"/>
        <v>0</v>
      </c>
    </row>
    <row r="38" spans="1:7" ht="12.75">
      <c r="A38" s="22">
        <f t="shared" si="5"/>
        <v>18</v>
      </c>
      <c r="B38" s="148">
        <f t="shared" si="6"/>
        <v>0</v>
      </c>
      <c r="C38" s="131">
        <f t="shared" si="0"/>
        <v>0</v>
      </c>
      <c r="D38" s="131">
        <f t="shared" si="1"/>
        <v>0</v>
      </c>
      <c r="E38" s="131">
        <f t="shared" si="2"/>
        <v>0</v>
      </c>
      <c r="F38" s="148">
        <f t="shared" si="3"/>
        <v>0</v>
      </c>
      <c r="G38" s="132">
        <f t="shared" si="4"/>
        <v>0</v>
      </c>
    </row>
    <row r="39" spans="1:7" ht="12.75">
      <c r="A39" s="22">
        <f t="shared" si="5"/>
        <v>19</v>
      </c>
      <c r="B39" s="148">
        <f t="shared" si="6"/>
        <v>0</v>
      </c>
      <c r="C39" s="131">
        <f t="shared" si="0"/>
        <v>0</v>
      </c>
      <c r="D39" s="131">
        <f t="shared" si="1"/>
        <v>0</v>
      </c>
      <c r="E39" s="131">
        <f t="shared" si="2"/>
        <v>0</v>
      </c>
      <c r="F39" s="148">
        <f t="shared" si="3"/>
        <v>0</v>
      </c>
      <c r="G39" s="132">
        <f t="shared" si="4"/>
        <v>0</v>
      </c>
    </row>
    <row r="40" spans="1:7" ht="12.75">
      <c r="A40" s="22">
        <f t="shared" si="5"/>
        <v>20</v>
      </c>
      <c r="B40" s="148">
        <f t="shared" si="6"/>
        <v>0</v>
      </c>
      <c r="C40" s="131">
        <f t="shared" si="0"/>
        <v>0</v>
      </c>
      <c r="D40" s="131">
        <f t="shared" si="1"/>
        <v>0</v>
      </c>
      <c r="E40" s="131">
        <f t="shared" si="2"/>
        <v>0</v>
      </c>
      <c r="F40" s="148">
        <f t="shared" si="3"/>
        <v>0</v>
      </c>
      <c r="G40" s="132">
        <f t="shared" si="4"/>
        <v>0</v>
      </c>
    </row>
    <row r="41" spans="1:7" ht="12.75">
      <c r="A41" s="22">
        <f t="shared" si="5"/>
        <v>21</v>
      </c>
      <c r="B41" s="148">
        <f t="shared" si="6"/>
        <v>0</v>
      </c>
      <c r="C41" s="131">
        <f t="shared" si="0"/>
        <v>0</v>
      </c>
      <c r="D41" s="131">
        <f t="shared" si="1"/>
        <v>0</v>
      </c>
      <c r="E41" s="131">
        <f t="shared" si="2"/>
        <v>0</v>
      </c>
      <c r="F41" s="148">
        <f t="shared" si="3"/>
        <v>0</v>
      </c>
      <c r="G41" s="132">
        <f t="shared" si="4"/>
        <v>0</v>
      </c>
    </row>
    <row r="42" spans="1:7" ht="12.75">
      <c r="A42" s="22">
        <f t="shared" si="5"/>
        <v>22</v>
      </c>
      <c r="B42" s="148">
        <f t="shared" si="6"/>
        <v>0</v>
      </c>
      <c r="C42" s="131">
        <f t="shared" si="0"/>
        <v>0</v>
      </c>
      <c r="D42" s="131">
        <f t="shared" si="1"/>
        <v>0</v>
      </c>
      <c r="E42" s="131">
        <f t="shared" si="2"/>
        <v>0</v>
      </c>
      <c r="F42" s="148">
        <f t="shared" si="3"/>
        <v>0</v>
      </c>
      <c r="G42" s="132">
        <f t="shared" si="4"/>
        <v>0</v>
      </c>
    </row>
    <row r="43" spans="1:7" ht="12.75">
      <c r="A43" s="22">
        <f t="shared" si="5"/>
        <v>23</v>
      </c>
      <c r="B43" s="148">
        <f t="shared" si="6"/>
        <v>0</v>
      </c>
      <c r="C43" s="131">
        <f t="shared" si="0"/>
        <v>0</v>
      </c>
      <c r="D43" s="131">
        <f t="shared" si="1"/>
        <v>0</v>
      </c>
      <c r="E43" s="131">
        <f t="shared" si="2"/>
        <v>0</v>
      </c>
      <c r="F43" s="148">
        <f t="shared" si="3"/>
        <v>0</v>
      </c>
      <c r="G43" s="132">
        <f t="shared" si="4"/>
        <v>0</v>
      </c>
    </row>
    <row r="44" spans="1:7" ht="12.75">
      <c r="A44" s="22">
        <f t="shared" si="5"/>
        <v>24</v>
      </c>
      <c r="B44" s="148">
        <f t="shared" si="6"/>
        <v>0</v>
      </c>
      <c r="C44" s="131">
        <f t="shared" si="0"/>
        <v>0</v>
      </c>
      <c r="D44" s="131">
        <f t="shared" si="1"/>
        <v>0</v>
      </c>
      <c r="E44" s="131">
        <f t="shared" si="2"/>
        <v>0</v>
      </c>
      <c r="F44" s="148">
        <f t="shared" si="3"/>
        <v>0</v>
      </c>
      <c r="G44" s="132">
        <f t="shared" si="4"/>
        <v>0</v>
      </c>
    </row>
    <row r="45" spans="1:7" ht="12.75">
      <c r="A45" s="22">
        <f t="shared" si="5"/>
        <v>25</v>
      </c>
      <c r="B45" s="148">
        <f t="shared" si="6"/>
        <v>0</v>
      </c>
      <c r="C45" s="131">
        <f t="shared" si="0"/>
        <v>0</v>
      </c>
      <c r="D45" s="131">
        <f t="shared" si="1"/>
        <v>0</v>
      </c>
      <c r="E45" s="131">
        <f t="shared" si="2"/>
        <v>0</v>
      </c>
      <c r="F45" s="148">
        <f t="shared" si="3"/>
        <v>0</v>
      </c>
      <c r="G45" s="132">
        <f t="shared" si="4"/>
        <v>0</v>
      </c>
    </row>
    <row r="46" spans="1:7" ht="12.75">
      <c r="A46" s="22">
        <f t="shared" si="5"/>
        <v>26</v>
      </c>
      <c r="B46" s="148">
        <f t="shared" si="6"/>
        <v>0</v>
      </c>
      <c r="C46" s="131">
        <f t="shared" si="0"/>
        <v>0</v>
      </c>
      <c r="D46" s="131">
        <f t="shared" si="1"/>
        <v>0</v>
      </c>
      <c r="E46" s="131">
        <f t="shared" si="2"/>
        <v>0</v>
      </c>
      <c r="F46" s="148">
        <f t="shared" si="3"/>
        <v>0</v>
      </c>
      <c r="G46" s="132">
        <f t="shared" si="4"/>
        <v>0</v>
      </c>
    </row>
    <row r="47" spans="1:7" ht="12.75">
      <c r="A47" s="22">
        <f t="shared" si="5"/>
        <v>27</v>
      </c>
      <c r="B47" s="148">
        <f t="shared" si="6"/>
        <v>0</v>
      </c>
      <c r="C47" s="131">
        <f t="shared" si="0"/>
        <v>0</v>
      </c>
      <c r="D47" s="131">
        <f t="shared" si="1"/>
        <v>0</v>
      </c>
      <c r="E47" s="131">
        <f t="shared" si="2"/>
        <v>0</v>
      </c>
      <c r="F47" s="148">
        <f t="shared" si="3"/>
        <v>0</v>
      </c>
      <c r="G47" s="132">
        <f t="shared" si="4"/>
        <v>0</v>
      </c>
    </row>
    <row r="48" spans="1:7" ht="12.75">
      <c r="A48" s="22">
        <f t="shared" si="5"/>
        <v>28</v>
      </c>
      <c r="B48" s="148">
        <f t="shared" si="6"/>
        <v>0</v>
      </c>
      <c r="C48" s="131">
        <f t="shared" si="0"/>
        <v>0</v>
      </c>
      <c r="D48" s="131">
        <f t="shared" si="1"/>
        <v>0</v>
      </c>
      <c r="E48" s="131">
        <f t="shared" si="2"/>
        <v>0</v>
      </c>
      <c r="F48" s="148">
        <f t="shared" si="3"/>
        <v>0</v>
      </c>
      <c r="G48" s="132">
        <f t="shared" si="4"/>
        <v>0</v>
      </c>
    </row>
    <row r="49" spans="1:7" ht="12.75">
      <c r="A49" s="22">
        <f t="shared" si="5"/>
        <v>29</v>
      </c>
      <c r="B49" s="148">
        <f t="shared" si="6"/>
        <v>0</v>
      </c>
      <c r="C49" s="131">
        <f t="shared" si="0"/>
        <v>0</v>
      </c>
      <c r="D49" s="131">
        <f t="shared" si="1"/>
        <v>0</v>
      </c>
      <c r="E49" s="131">
        <f t="shared" si="2"/>
        <v>0</v>
      </c>
      <c r="F49" s="148">
        <f t="shared" si="3"/>
        <v>0</v>
      </c>
      <c r="G49" s="132">
        <f t="shared" si="4"/>
        <v>0</v>
      </c>
    </row>
    <row r="50" spans="1:7" ht="12.75">
      <c r="A50" s="22">
        <f t="shared" si="5"/>
        <v>30</v>
      </c>
      <c r="B50" s="148">
        <f t="shared" si="6"/>
        <v>0</v>
      </c>
      <c r="C50" s="131">
        <f t="shared" si="0"/>
        <v>0</v>
      </c>
      <c r="D50" s="131">
        <f t="shared" si="1"/>
        <v>0</v>
      </c>
      <c r="E50" s="131">
        <f t="shared" si="2"/>
        <v>0</v>
      </c>
      <c r="F50" s="148">
        <f t="shared" si="3"/>
        <v>0</v>
      </c>
      <c r="G50" s="132">
        <f t="shared" si="4"/>
        <v>0</v>
      </c>
    </row>
    <row r="51" spans="1:7" ht="12.75">
      <c r="A51" s="22">
        <f t="shared" si="5"/>
        <v>31</v>
      </c>
      <c r="B51" s="148">
        <f t="shared" si="6"/>
        <v>0</v>
      </c>
      <c r="C51" s="131">
        <f t="shared" si="0"/>
        <v>0</v>
      </c>
      <c r="D51" s="131">
        <f t="shared" si="1"/>
        <v>0</v>
      </c>
      <c r="E51" s="131">
        <f t="shared" si="2"/>
        <v>0</v>
      </c>
      <c r="F51" s="148">
        <f t="shared" si="3"/>
        <v>0</v>
      </c>
      <c r="G51" s="132">
        <f t="shared" si="4"/>
        <v>0</v>
      </c>
    </row>
    <row r="52" spans="1:7" ht="12.75">
      <c r="A52" s="22">
        <f t="shared" si="5"/>
        <v>32</v>
      </c>
      <c r="B52" s="148">
        <f t="shared" si="6"/>
        <v>0</v>
      </c>
      <c r="C52" s="131">
        <f t="shared" si="0"/>
        <v>0</v>
      </c>
      <c r="D52" s="131">
        <f t="shared" si="1"/>
        <v>0</v>
      </c>
      <c r="E52" s="131">
        <f t="shared" si="2"/>
        <v>0</v>
      </c>
      <c r="F52" s="148">
        <f t="shared" si="3"/>
        <v>0</v>
      </c>
      <c r="G52" s="132">
        <f t="shared" si="4"/>
        <v>0</v>
      </c>
    </row>
    <row r="53" spans="1:7" ht="12.75">
      <c r="A53" s="22">
        <f t="shared" si="5"/>
        <v>33</v>
      </c>
      <c r="B53" s="148">
        <f t="shared" si="6"/>
        <v>0</v>
      </c>
      <c r="C53" s="131">
        <f t="shared" si="0"/>
        <v>0</v>
      </c>
      <c r="D53" s="131">
        <f t="shared" si="1"/>
        <v>0</v>
      </c>
      <c r="E53" s="131">
        <f t="shared" si="2"/>
        <v>0</v>
      </c>
      <c r="F53" s="148">
        <f t="shared" si="3"/>
        <v>0</v>
      </c>
      <c r="G53" s="132">
        <f aca="true" t="shared" si="7" ref="G53:G84">B53-F53</f>
        <v>0</v>
      </c>
    </row>
    <row r="54" spans="1:7" ht="12.75">
      <c r="A54" s="22">
        <f t="shared" si="5"/>
        <v>34</v>
      </c>
      <c r="B54" s="148">
        <f t="shared" si="6"/>
        <v>0</v>
      </c>
      <c r="C54" s="131">
        <f t="shared" si="0"/>
        <v>0</v>
      </c>
      <c r="D54" s="131">
        <f t="shared" si="1"/>
        <v>0</v>
      </c>
      <c r="E54" s="131">
        <f t="shared" si="2"/>
        <v>0</v>
      </c>
      <c r="F54" s="148">
        <f t="shared" si="3"/>
        <v>0</v>
      </c>
      <c r="G54" s="132">
        <f t="shared" si="7"/>
        <v>0</v>
      </c>
    </row>
    <row r="55" spans="1:7" ht="12.75">
      <c r="A55" s="22">
        <f t="shared" si="5"/>
        <v>35</v>
      </c>
      <c r="B55" s="148">
        <f t="shared" si="6"/>
        <v>0</v>
      </c>
      <c r="C55" s="131">
        <f t="shared" si="0"/>
        <v>0</v>
      </c>
      <c r="D55" s="131">
        <f t="shared" si="1"/>
        <v>0</v>
      </c>
      <c r="E55" s="131">
        <f t="shared" si="2"/>
        <v>0</v>
      </c>
      <c r="F55" s="148">
        <f t="shared" si="3"/>
        <v>0</v>
      </c>
      <c r="G55" s="132">
        <f t="shared" si="7"/>
        <v>0</v>
      </c>
    </row>
    <row r="56" spans="1:7" ht="12.75">
      <c r="A56" s="22">
        <f t="shared" si="5"/>
        <v>36</v>
      </c>
      <c r="B56" s="148">
        <f t="shared" si="6"/>
        <v>0</v>
      </c>
      <c r="C56" s="131">
        <f t="shared" si="0"/>
        <v>0</v>
      </c>
      <c r="D56" s="131">
        <f t="shared" si="1"/>
        <v>0</v>
      </c>
      <c r="E56" s="131">
        <f t="shared" si="2"/>
        <v>0</v>
      </c>
      <c r="F56" s="148">
        <f t="shared" si="3"/>
        <v>0</v>
      </c>
      <c r="G56" s="132">
        <f t="shared" si="7"/>
        <v>0</v>
      </c>
    </row>
    <row r="57" spans="1:7" ht="12.75">
      <c r="A57" s="22">
        <f t="shared" si="5"/>
        <v>37</v>
      </c>
      <c r="B57" s="148">
        <f t="shared" si="6"/>
        <v>0</v>
      </c>
      <c r="C57" s="131">
        <f t="shared" si="0"/>
        <v>0</v>
      </c>
      <c r="D57" s="131">
        <f t="shared" si="1"/>
        <v>0</v>
      </c>
      <c r="E57" s="131">
        <f t="shared" si="2"/>
        <v>0</v>
      </c>
      <c r="F57" s="148">
        <f t="shared" si="3"/>
        <v>0</v>
      </c>
      <c r="G57" s="132">
        <f t="shared" si="7"/>
        <v>0</v>
      </c>
    </row>
    <row r="58" spans="1:7" ht="12.75">
      <c r="A58" s="22">
        <f t="shared" si="5"/>
        <v>38</v>
      </c>
      <c r="B58" s="148">
        <f t="shared" si="6"/>
        <v>0</v>
      </c>
      <c r="C58" s="131">
        <f t="shared" si="0"/>
        <v>0</v>
      </c>
      <c r="D58" s="131">
        <f t="shared" si="1"/>
        <v>0</v>
      </c>
      <c r="E58" s="131">
        <f t="shared" si="2"/>
        <v>0</v>
      </c>
      <c r="F58" s="148">
        <f t="shared" si="3"/>
        <v>0</v>
      </c>
      <c r="G58" s="132">
        <f t="shared" si="7"/>
        <v>0</v>
      </c>
    </row>
    <row r="59" spans="1:7" ht="12.75">
      <c r="A59" s="22">
        <f t="shared" si="5"/>
        <v>39</v>
      </c>
      <c r="B59" s="148">
        <f t="shared" si="6"/>
        <v>0</v>
      </c>
      <c r="C59" s="131">
        <f t="shared" si="0"/>
        <v>0</v>
      </c>
      <c r="D59" s="131">
        <f t="shared" si="1"/>
        <v>0</v>
      </c>
      <c r="E59" s="131">
        <f t="shared" si="2"/>
        <v>0</v>
      </c>
      <c r="F59" s="148">
        <f t="shared" si="3"/>
        <v>0</v>
      </c>
      <c r="G59" s="132">
        <f t="shared" si="7"/>
        <v>0</v>
      </c>
    </row>
    <row r="60" spans="1:7" ht="13.5" thickBot="1">
      <c r="A60" s="22">
        <f t="shared" si="5"/>
        <v>40</v>
      </c>
      <c r="B60" s="148">
        <f t="shared" si="6"/>
        <v>0</v>
      </c>
      <c r="C60" s="131">
        <f t="shared" si="0"/>
        <v>0</v>
      </c>
      <c r="D60" s="131">
        <f t="shared" si="1"/>
        <v>0</v>
      </c>
      <c r="E60" s="131">
        <f t="shared" si="2"/>
        <v>0</v>
      </c>
      <c r="F60" s="148">
        <f t="shared" si="3"/>
        <v>0</v>
      </c>
      <c r="G60" s="132">
        <f t="shared" si="7"/>
        <v>0</v>
      </c>
    </row>
    <row r="61" spans="1:7" ht="12.75" hidden="1">
      <c r="A61" s="22">
        <f t="shared" si="5"/>
        <v>41</v>
      </c>
      <c r="B61" s="148">
        <f t="shared" si="6"/>
        <v>0</v>
      </c>
      <c r="C61" s="131">
        <f t="shared" si="0"/>
        <v>0</v>
      </c>
      <c r="D61" s="131">
        <f t="shared" si="1"/>
        <v>0</v>
      </c>
      <c r="E61" s="131">
        <f t="shared" si="2"/>
        <v>0</v>
      </c>
      <c r="F61" s="148">
        <f t="shared" si="3"/>
        <v>0</v>
      </c>
      <c r="G61" s="132">
        <f t="shared" si="7"/>
        <v>0</v>
      </c>
    </row>
    <row r="62" spans="1:7" ht="12.75" hidden="1">
      <c r="A62" s="22">
        <f t="shared" si="5"/>
        <v>42</v>
      </c>
      <c r="B62" s="148">
        <f t="shared" si="6"/>
        <v>0</v>
      </c>
      <c r="C62" s="131">
        <f t="shared" si="0"/>
        <v>0</v>
      </c>
      <c r="D62" s="131">
        <f t="shared" si="1"/>
        <v>0</v>
      </c>
      <c r="E62" s="131">
        <f t="shared" si="2"/>
        <v>0</v>
      </c>
      <c r="F62" s="148">
        <f t="shared" si="3"/>
        <v>0</v>
      </c>
      <c r="G62" s="132">
        <f t="shared" si="7"/>
        <v>0</v>
      </c>
    </row>
    <row r="63" spans="1:7" ht="12.75" hidden="1">
      <c r="A63" s="22">
        <f t="shared" si="5"/>
        <v>43</v>
      </c>
      <c r="B63" s="148">
        <f t="shared" si="6"/>
        <v>0</v>
      </c>
      <c r="C63" s="131">
        <f t="shared" si="0"/>
        <v>0</v>
      </c>
      <c r="D63" s="131">
        <f t="shared" si="1"/>
        <v>0</v>
      </c>
      <c r="E63" s="131">
        <f t="shared" si="2"/>
        <v>0</v>
      </c>
      <c r="F63" s="148">
        <f t="shared" si="3"/>
        <v>0</v>
      </c>
      <c r="G63" s="132">
        <f t="shared" si="7"/>
        <v>0</v>
      </c>
    </row>
    <row r="64" spans="1:7" ht="12.75" hidden="1">
      <c r="A64" s="22">
        <f t="shared" si="5"/>
        <v>44</v>
      </c>
      <c r="B64" s="148">
        <f t="shared" si="6"/>
        <v>0</v>
      </c>
      <c r="C64" s="131">
        <f t="shared" si="0"/>
        <v>0</v>
      </c>
      <c r="D64" s="131">
        <f t="shared" si="1"/>
        <v>0</v>
      </c>
      <c r="E64" s="131">
        <f t="shared" si="2"/>
        <v>0</v>
      </c>
      <c r="F64" s="148">
        <f t="shared" si="3"/>
        <v>0</v>
      </c>
      <c r="G64" s="132">
        <f t="shared" si="7"/>
        <v>0</v>
      </c>
    </row>
    <row r="65" spans="1:7" ht="12.75" hidden="1">
      <c r="A65" s="22">
        <f t="shared" si="5"/>
        <v>45</v>
      </c>
      <c r="B65" s="148">
        <f t="shared" si="6"/>
        <v>0</v>
      </c>
      <c r="C65" s="131">
        <f t="shared" si="0"/>
        <v>0</v>
      </c>
      <c r="D65" s="131">
        <f t="shared" si="1"/>
        <v>0</v>
      </c>
      <c r="E65" s="131">
        <f t="shared" si="2"/>
        <v>0</v>
      </c>
      <c r="F65" s="148">
        <f t="shared" si="3"/>
        <v>0</v>
      </c>
      <c r="G65" s="132">
        <f t="shared" si="7"/>
        <v>0</v>
      </c>
    </row>
    <row r="66" spans="1:7" ht="12.75" hidden="1">
      <c r="A66" s="22">
        <f t="shared" si="5"/>
        <v>46</v>
      </c>
      <c r="B66" s="148">
        <f t="shared" si="6"/>
        <v>0</v>
      </c>
      <c r="C66" s="131">
        <f t="shared" si="0"/>
        <v>0</v>
      </c>
      <c r="D66" s="131">
        <f t="shared" si="1"/>
        <v>0</v>
      </c>
      <c r="E66" s="131">
        <f t="shared" si="2"/>
        <v>0</v>
      </c>
      <c r="F66" s="148">
        <f t="shared" si="3"/>
        <v>0</v>
      </c>
      <c r="G66" s="132">
        <f t="shared" si="7"/>
        <v>0</v>
      </c>
    </row>
    <row r="67" spans="1:7" ht="12.75" hidden="1">
      <c r="A67" s="22">
        <f t="shared" si="5"/>
        <v>47</v>
      </c>
      <c r="B67" s="148">
        <f t="shared" si="6"/>
        <v>0</v>
      </c>
      <c r="C67" s="131">
        <f t="shared" si="0"/>
        <v>0</v>
      </c>
      <c r="D67" s="131">
        <f t="shared" si="1"/>
        <v>0</v>
      </c>
      <c r="E67" s="131">
        <f t="shared" si="2"/>
        <v>0</v>
      </c>
      <c r="F67" s="148">
        <f t="shared" si="3"/>
        <v>0</v>
      </c>
      <c r="G67" s="132">
        <f t="shared" si="7"/>
        <v>0</v>
      </c>
    </row>
    <row r="68" spans="1:7" ht="12.75" hidden="1">
      <c r="A68" s="22">
        <f t="shared" si="5"/>
        <v>48</v>
      </c>
      <c r="B68" s="148">
        <f t="shared" si="6"/>
        <v>0</v>
      </c>
      <c r="C68" s="131">
        <f t="shared" si="0"/>
        <v>0</v>
      </c>
      <c r="D68" s="131">
        <f t="shared" si="1"/>
        <v>0</v>
      </c>
      <c r="E68" s="131">
        <f t="shared" si="2"/>
        <v>0</v>
      </c>
      <c r="F68" s="148">
        <f t="shared" si="3"/>
        <v>0</v>
      </c>
      <c r="G68" s="132">
        <f t="shared" si="7"/>
        <v>0</v>
      </c>
    </row>
    <row r="69" spans="1:7" ht="12.75" hidden="1">
      <c r="A69" s="22">
        <f t="shared" si="5"/>
        <v>49</v>
      </c>
      <c r="B69" s="148">
        <f t="shared" si="6"/>
        <v>0</v>
      </c>
      <c r="C69" s="131">
        <f t="shared" si="0"/>
        <v>0</v>
      </c>
      <c r="D69" s="131">
        <f t="shared" si="1"/>
        <v>0</v>
      </c>
      <c r="E69" s="131">
        <f t="shared" si="2"/>
        <v>0</v>
      </c>
      <c r="F69" s="148">
        <f t="shared" si="3"/>
        <v>0</v>
      </c>
      <c r="G69" s="132">
        <f t="shared" si="7"/>
        <v>0</v>
      </c>
    </row>
    <row r="70" spans="1:7" ht="12.75" hidden="1">
      <c r="A70" s="22">
        <f t="shared" si="5"/>
        <v>50</v>
      </c>
      <c r="B70" s="148">
        <f t="shared" si="6"/>
        <v>0</v>
      </c>
      <c r="C70" s="131">
        <f t="shared" si="0"/>
        <v>0</v>
      </c>
      <c r="D70" s="131">
        <f t="shared" si="1"/>
        <v>0</v>
      </c>
      <c r="E70" s="131">
        <f t="shared" si="2"/>
        <v>0</v>
      </c>
      <c r="F70" s="148">
        <f t="shared" si="3"/>
        <v>0</v>
      </c>
      <c r="G70" s="132">
        <f t="shared" si="7"/>
        <v>0</v>
      </c>
    </row>
    <row r="71" spans="1:7" ht="12.75" hidden="1">
      <c r="A71" s="22">
        <f t="shared" si="5"/>
        <v>51</v>
      </c>
      <c r="B71" s="148">
        <f t="shared" si="6"/>
        <v>0</v>
      </c>
      <c r="C71" s="131">
        <f t="shared" si="0"/>
        <v>0</v>
      </c>
      <c r="D71" s="131">
        <f t="shared" si="1"/>
        <v>0</v>
      </c>
      <c r="E71" s="131">
        <f t="shared" si="2"/>
        <v>0</v>
      </c>
      <c r="F71" s="148">
        <f t="shared" si="3"/>
        <v>0</v>
      </c>
      <c r="G71" s="132">
        <f t="shared" si="7"/>
        <v>0</v>
      </c>
    </row>
    <row r="72" spans="1:7" ht="12.75" hidden="1">
      <c r="A72" s="22">
        <f t="shared" si="5"/>
        <v>52</v>
      </c>
      <c r="B72" s="148">
        <f t="shared" si="6"/>
        <v>0</v>
      </c>
      <c r="C72" s="131">
        <f t="shared" si="0"/>
        <v>0</v>
      </c>
      <c r="D72" s="131">
        <f t="shared" si="1"/>
        <v>0</v>
      </c>
      <c r="E72" s="131">
        <f t="shared" si="2"/>
        <v>0</v>
      </c>
      <c r="F72" s="148">
        <f t="shared" si="3"/>
        <v>0</v>
      </c>
      <c r="G72" s="132">
        <f t="shared" si="7"/>
        <v>0</v>
      </c>
    </row>
    <row r="73" spans="1:7" ht="12.75" hidden="1">
      <c r="A73" s="22">
        <f t="shared" si="5"/>
        <v>53</v>
      </c>
      <c r="B73" s="148">
        <f t="shared" si="6"/>
        <v>0</v>
      </c>
      <c r="C73" s="131">
        <f t="shared" si="0"/>
        <v>0</v>
      </c>
      <c r="D73" s="131">
        <f t="shared" si="1"/>
        <v>0</v>
      </c>
      <c r="E73" s="131">
        <f t="shared" si="2"/>
        <v>0</v>
      </c>
      <c r="F73" s="148">
        <f t="shared" si="3"/>
        <v>0</v>
      </c>
      <c r="G73" s="132">
        <f t="shared" si="7"/>
        <v>0</v>
      </c>
    </row>
    <row r="74" spans="1:7" ht="12.75" hidden="1">
      <c r="A74" s="22">
        <f t="shared" si="5"/>
        <v>54</v>
      </c>
      <c r="B74" s="148">
        <f t="shared" si="6"/>
        <v>0</v>
      </c>
      <c r="C74" s="131">
        <f t="shared" si="0"/>
        <v>0</v>
      </c>
      <c r="D74" s="131">
        <f t="shared" si="1"/>
        <v>0</v>
      </c>
      <c r="E74" s="131">
        <f t="shared" si="2"/>
        <v>0</v>
      </c>
      <c r="F74" s="148">
        <f t="shared" si="3"/>
        <v>0</v>
      </c>
      <c r="G74" s="132">
        <f t="shared" si="7"/>
        <v>0</v>
      </c>
    </row>
    <row r="75" spans="1:7" ht="12.75" hidden="1">
      <c r="A75" s="22">
        <f t="shared" si="5"/>
        <v>55</v>
      </c>
      <c r="B75" s="148">
        <f t="shared" si="6"/>
        <v>0</v>
      </c>
      <c r="C75" s="131">
        <f t="shared" si="0"/>
        <v>0</v>
      </c>
      <c r="D75" s="131">
        <f t="shared" si="1"/>
        <v>0</v>
      </c>
      <c r="E75" s="131">
        <f t="shared" si="2"/>
        <v>0</v>
      </c>
      <c r="F75" s="148">
        <f t="shared" si="3"/>
        <v>0</v>
      </c>
      <c r="G75" s="132">
        <f t="shared" si="7"/>
        <v>0</v>
      </c>
    </row>
    <row r="76" spans="1:7" ht="12.75" hidden="1">
      <c r="A76" s="22">
        <f t="shared" si="5"/>
        <v>56</v>
      </c>
      <c r="B76" s="148">
        <f t="shared" si="6"/>
        <v>0</v>
      </c>
      <c r="C76" s="131">
        <f t="shared" si="0"/>
        <v>0</v>
      </c>
      <c r="D76" s="131">
        <f t="shared" si="1"/>
        <v>0</v>
      </c>
      <c r="E76" s="131">
        <f t="shared" si="2"/>
        <v>0</v>
      </c>
      <c r="F76" s="148">
        <f t="shared" si="3"/>
        <v>0</v>
      </c>
      <c r="G76" s="132">
        <f t="shared" si="7"/>
        <v>0</v>
      </c>
    </row>
    <row r="77" spans="1:7" ht="12.75" hidden="1">
      <c r="A77" s="22">
        <f t="shared" si="5"/>
        <v>57</v>
      </c>
      <c r="B77" s="148">
        <f t="shared" si="6"/>
        <v>0</v>
      </c>
      <c r="C77" s="131">
        <f t="shared" si="0"/>
        <v>0</v>
      </c>
      <c r="D77" s="131">
        <f t="shared" si="1"/>
        <v>0</v>
      </c>
      <c r="E77" s="131">
        <f t="shared" si="2"/>
        <v>0</v>
      </c>
      <c r="F77" s="148">
        <f t="shared" si="3"/>
        <v>0</v>
      </c>
      <c r="G77" s="132">
        <f t="shared" si="7"/>
        <v>0</v>
      </c>
    </row>
    <row r="78" spans="1:7" ht="12.75" hidden="1">
      <c r="A78" s="22">
        <f t="shared" si="5"/>
        <v>58</v>
      </c>
      <c r="B78" s="148">
        <f t="shared" si="6"/>
        <v>0</v>
      </c>
      <c r="C78" s="131">
        <f t="shared" si="0"/>
        <v>0</v>
      </c>
      <c r="D78" s="131">
        <f t="shared" si="1"/>
        <v>0</v>
      </c>
      <c r="E78" s="131">
        <f t="shared" si="2"/>
        <v>0</v>
      </c>
      <c r="F78" s="148">
        <f t="shared" si="3"/>
        <v>0</v>
      </c>
      <c r="G78" s="132">
        <f t="shared" si="7"/>
        <v>0</v>
      </c>
    </row>
    <row r="79" spans="1:7" ht="12.75" hidden="1">
      <c r="A79" s="22">
        <f t="shared" si="5"/>
        <v>59</v>
      </c>
      <c r="B79" s="148">
        <f t="shared" si="6"/>
        <v>0</v>
      </c>
      <c r="C79" s="131">
        <f t="shared" si="0"/>
        <v>0</v>
      </c>
      <c r="D79" s="131">
        <f t="shared" si="1"/>
        <v>0</v>
      </c>
      <c r="E79" s="131">
        <f t="shared" si="2"/>
        <v>0</v>
      </c>
      <c r="F79" s="148">
        <f t="shared" si="3"/>
        <v>0</v>
      </c>
      <c r="G79" s="132">
        <f t="shared" si="7"/>
        <v>0</v>
      </c>
    </row>
    <row r="80" spans="1:7" ht="12.75" hidden="1">
      <c r="A80" s="22">
        <f t="shared" si="5"/>
        <v>60</v>
      </c>
      <c r="B80" s="148">
        <f t="shared" si="6"/>
        <v>0</v>
      </c>
      <c r="C80" s="131">
        <f t="shared" si="0"/>
        <v>0</v>
      </c>
      <c r="D80" s="131">
        <f t="shared" si="1"/>
        <v>0</v>
      </c>
      <c r="E80" s="131">
        <f t="shared" si="2"/>
        <v>0</v>
      </c>
      <c r="F80" s="148">
        <f t="shared" si="3"/>
        <v>0</v>
      </c>
      <c r="G80" s="132">
        <f t="shared" si="7"/>
        <v>0</v>
      </c>
    </row>
    <row r="81" spans="1:7" ht="12.75" hidden="1">
      <c r="A81" s="22">
        <f t="shared" si="5"/>
        <v>61</v>
      </c>
      <c r="B81" s="148">
        <f t="shared" si="6"/>
        <v>0</v>
      </c>
      <c r="C81" s="131">
        <f t="shared" si="0"/>
        <v>0</v>
      </c>
      <c r="D81" s="131">
        <f t="shared" si="1"/>
        <v>0</v>
      </c>
      <c r="E81" s="131">
        <f t="shared" si="2"/>
        <v>0</v>
      </c>
      <c r="F81" s="148">
        <f t="shared" si="3"/>
        <v>0</v>
      </c>
      <c r="G81" s="132">
        <f t="shared" si="7"/>
        <v>0</v>
      </c>
    </row>
    <row r="82" spans="1:7" ht="12.75" hidden="1">
      <c r="A82" s="22">
        <f t="shared" si="5"/>
        <v>62</v>
      </c>
      <c r="B82" s="148">
        <f t="shared" si="6"/>
        <v>0</v>
      </c>
      <c r="C82" s="131">
        <f t="shared" si="0"/>
        <v>0</v>
      </c>
      <c r="D82" s="131">
        <f t="shared" si="1"/>
        <v>0</v>
      </c>
      <c r="E82" s="131">
        <f t="shared" si="2"/>
        <v>0</v>
      </c>
      <c r="F82" s="148">
        <f t="shared" si="3"/>
        <v>0</v>
      </c>
      <c r="G82" s="132">
        <f t="shared" si="7"/>
        <v>0</v>
      </c>
    </row>
    <row r="83" spans="1:7" ht="12.75" hidden="1">
      <c r="A83" s="22">
        <f t="shared" si="5"/>
        <v>63</v>
      </c>
      <c r="B83" s="148">
        <f t="shared" si="6"/>
        <v>0</v>
      </c>
      <c r="C83" s="131">
        <f t="shared" si="0"/>
        <v>0</v>
      </c>
      <c r="D83" s="131">
        <f t="shared" si="1"/>
        <v>0</v>
      </c>
      <c r="E83" s="131">
        <f t="shared" si="2"/>
        <v>0</v>
      </c>
      <c r="F83" s="148">
        <f t="shared" si="3"/>
        <v>0</v>
      </c>
      <c r="G83" s="132">
        <f t="shared" si="7"/>
        <v>0</v>
      </c>
    </row>
    <row r="84" spans="1:7" ht="12.75" hidden="1">
      <c r="A84" s="22">
        <f t="shared" si="5"/>
        <v>64</v>
      </c>
      <c r="B84" s="148">
        <f t="shared" si="6"/>
        <v>0</v>
      </c>
      <c r="C84" s="131">
        <f t="shared" si="0"/>
        <v>0</v>
      </c>
      <c r="D84" s="131">
        <f t="shared" si="1"/>
        <v>0</v>
      </c>
      <c r="E84" s="131">
        <f t="shared" si="2"/>
        <v>0</v>
      </c>
      <c r="F84" s="148">
        <f t="shared" si="3"/>
        <v>0</v>
      </c>
      <c r="G84" s="132">
        <f t="shared" si="7"/>
        <v>0</v>
      </c>
    </row>
    <row r="85" spans="1:7" ht="12.75" hidden="1">
      <c r="A85" s="22">
        <f t="shared" si="5"/>
        <v>65</v>
      </c>
      <c r="B85" s="148">
        <f t="shared" si="6"/>
        <v>0</v>
      </c>
      <c r="C85" s="131">
        <f aca="true" t="shared" si="8" ref="C85:C148">IF(A85&lt;=$D$10,D85+$D$13,0)</f>
        <v>0</v>
      </c>
      <c r="D85" s="131">
        <f aca="true" t="shared" si="9" ref="D85:D148">E85+F85</f>
        <v>0</v>
      </c>
      <c r="E85" s="131">
        <f aca="true" t="shared" si="10" ref="E85:E148">B85*$D$11</f>
        <v>0</v>
      </c>
      <c r="F85" s="148">
        <f aca="true" t="shared" si="11" ref="F85:F148">IF(A85&lt;=$D$10,$D$12*-1,0)</f>
        <v>0</v>
      </c>
      <c r="G85" s="132">
        <f aca="true" t="shared" si="12" ref="G85:G148">B85-F85</f>
        <v>0</v>
      </c>
    </row>
    <row r="86" spans="1:7" ht="12.75" hidden="1">
      <c r="A86" s="22">
        <f aca="true" t="shared" si="13" ref="A86:A149">A85+1</f>
        <v>66</v>
      </c>
      <c r="B86" s="148">
        <f aca="true" t="shared" si="14" ref="B86:B149">B85-F85</f>
        <v>0</v>
      </c>
      <c r="C86" s="131">
        <f t="shared" si="8"/>
        <v>0</v>
      </c>
      <c r="D86" s="131">
        <f t="shared" si="9"/>
        <v>0</v>
      </c>
      <c r="E86" s="131">
        <f t="shared" si="10"/>
        <v>0</v>
      </c>
      <c r="F86" s="148">
        <f t="shared" si="11"/>
        <v>0</v>
      </c>
      <c r="G86" s="132">
        <f t="shared" si="12"/>
        <v>0</v>
      </c>
    </row>
    <row r="87" spans="1:7" ht="12.75" hidden="1">
      <c r="A87" s="22">
        <f t="shared" si="13"/>
        <v>67</v>
      </c>
      <c r="B87" s="148">
        <f t="shared" si="14"/>
        <v>0</v>
      </c>
      <c r="C87" s="131">
        <f t="shared" si="8"/>
        <v>0</v>
      </c>
      <c r="D87" s="131">
        <f t="shared" si="9"/>
        <v>0</v>
      </c>
      <c r="E87" s="131">
        <f t="shared" si="10"/>
        <v>0</v>
      </c>
      <c r="F87" s="148">
        <f t="shared" si="11"/>
        <v>0</v>
      </c>
      <c r="G87" s="132">
        <f t="shared" si="12"/>
        <v>0</v>
      </c>
    </row>
    <row r="88" spans="1:7" ht="12.75" hidden="1">
      <c r="A88" s="22">
        <f t="shared" si="13"/>
        <v>68</v>
      </c>
      <c r="B88" s="148">
        <f t="shared" si="14"/>
        <v>0</v>
      </c>
      <c r="C88" s="131">
        <f t="shared" si="8"/>
        <v>0</v>
      </c>
      <c r="D88" s="131">
        <f t="shared" si="9"/>
        <v>0</v>
      </c>
      <c r="E88" s="131">
        <f t="shared" si="10"/>
        <v>0</v>
      </c>
      <c r="F88" s="148">
        <f t="shared" si="11"/>
        <v>0</v>
      </c>
      <c r="G88" s="132">
        <f t="shared" si="12"/>
        <v>0</v>
      </c>
    </row>
    <row r="89" spans="1:7" ht="12.75" hidden="1">
      <c r="A89" s="22">
        <f t="shared" si="13"/>
        <v>69</v>
      </c>
      <c r="B89" s="148">
        <f t="shared" si="14"/>
        <v>0</v>
      </c>
      <c r="C89" s="131">
        <f t="shared" si="8"/>
        <v>0</v>
      </c>
      <c r="D89" s="131">
        <f t="shared" si="9"/>
        <v>0</v>
      </c>
      <c r="E89" s="131">
        <f t="shared" si="10"/>
        <v>0</v>
      </c>
      <c r="F89" s="148">
        <f t="shared" si="11"/>
        <v>0</v>
      </c>
      <c r="G89" s="132">
        <f t="shared" si="12"/>
        <v>0</v>
      </c>
    </row>
    <row r="90" spans="1:7" ht="12.75" hidden="1">
      <c r="A90" s="22">
        <f t="shared" si="13"/>
        <v>70</v>
      </c>
      <c r="B90" s="148">
        <f t="shared" si="14"/>
        <v>0</v>
      </c>
      <c r="C90" s="131">
        <f t="shared" si="8"/>
        <v>0</v>
      </c>
      <c r="D90" s="131">
        <f t="shared" si="9"/>
        <v>0</v>
      </c>
      <c r="E90" s="131">
        <f t="shared" si="10"/>
        <v>0</v>
      </c>
      <c r="F90" s="148">
        <f t="shared" si="11"/>
        <v>0</v>
      </c>
      <c r="G90" s="132">
        <f t="shared" si="12"/>
        <v>0</v>
      </c>
    </row>
    <row r="91" spans="1:7" ht="12.75" hidden="1">
      <c r="A91" s="22">
        <f t="shared" si="13"/>
        <v>71</v>
      </c>
      <c r="B91" s="148">
        <f t="shared" si="14"/>
        <v>0</v>
      </c>
      <c r="C91" s="131">
        <f t="shared" si="8"/>
        <v>0</v>
      </c>
      <c r="D91" s="131">
        <f t="shared" si="9"/>
        <v>0</v>
      </c>
      <c r="E91" s="131">
        <f t="shared" si="10"/>
        <v>0</v>
      </c>
      <c r="F91" s="148">
        <f t="shared" si="11"/>
        <v>0</v>
      </c>
      <c r="G91" s="132">
        <f t="shared" si="12"/>
        <v>0</v>
      </c>
    </row>
    <row r="92" spans="1:7" ht="12.75" hidden="1">
      <c r="A92" s="22">
        <f t="shared" si="13"/>
        <v>72</v>
      </c>
      <c r="B92" s="148">
        <f t="shared" si="14"/>
        <v>0</v>
      </c>
      <c r="C92" s="131">
        <f t="shared" si="8"/>
        <v>0</v>
      </c>
      <c r="D92" s="131">
        <f t="shared" si="9"/>
        <v>0</v>
      </c>
      <c r="E92" s="131">
        <f t="shared" si="10"/>
        <v>0</v>
      </c>
      <c r="F92" s="148">
        <f t="shared" si="11"/>
        <v>0</v>
      </c>
      <c r="G92" s="132">
        <f t="shared" si="12"/>
        <v>0</v>
      </c>
    </row>
    <row r="93" spans="1:7" ht="12.75" hidden="1">
      <c r="A93" s="22">
        <f t="shared" si="13"/>
        <v>73</v>
      </c>
      <c r="B93" s="148">
        <f t="shared" si="14"/>
        <v>0</v>
      </c>
      <c r="C93" s="131">
        <f t="shared" si="8"/>
        <v>0</v>
      </c>
      <c r="D93" s="131">
        <f t="shared" si="9"/>
        <v>0</v>
      </c>
      <c r="E93" s="131">
        <f t="shared" si="10"/>
        <v>0</v>
      </c>
      <c r="F93" s="148">
        <f t="shared" si="11"/>
        <v>0</v>
      </c>
      <c r="G93" s="132">
        <f t="shared" si="12"/>
        <v>0</v>
      </c>
    </row>
    <row r="94" spans="1:7" ht="12.75" hidden="1">
      <c r="A94" s="22">
        <f t="shared" si="13"/>
        <v>74</v>
      </c>
      <c r="B94" s="148">
        <f t="shared" si="14"/>
        <v>0</v>
      </c>
      <c r="C94" s="131">
        <f t="shared" si="8"/>
        <v>0</v>
      </c>
      <c r="D94" s="131">
        <f t="shared" si="9"/>
        <v>0</v>
      </c>
      <c r="E94" s="131">
        <f t="shared" si="10"/>
        <v>0</v>
      </c>
      <c r="F94" s="148">
        <f t="shared" si="11"/>
        <v>0</v>
      </c>
      <c r="G94" s="132">
        <f t="shared" si="12"/>
        <v>0</v>
      </c>
    </row>
    <row r="95" spans="1:7" ht="12.75" hidden="1">
      <c r="A95" s="22">
        <f t="shared" si="13"/>
        <v>75</v>
      </c>
      <c r="B95" s="148">
        <f t="shared" si="14"/>
        <v>0</v>
      </c>
      <c r="C95" s="131">
        <f t="shared" si="8"/>
        <v>0</v>
      </c>
      <c r="D95" s="131">
        <f t="shared" si="9"/>
        <v>0</v>
      </c>
      <c r="E95" s="131">
        <f t="shared" si="10"/>
        <v>0</v>
      </c>
      <c r="F95" s="148">
        <f t="shared" si="11"/>
        <v>0</v>
      </c>
      <c r="G95" s="132">
        <f t="shared" si="12"/>
        <v>0</v>
      </c>
    </row>
    <row r="96" spans="1:7" ht="12.75" hidden="1">
      <c r="A96" s="22">
        <f t="shared" si="13"/>
        <v>76</v>
      </c>
      <c r="B96" s="148">
        <f t="shared" si="14"/>
        <v>0</v>
      </c>
      <c r="C96" s="131">
        <f t="shared" si="8"/>
        <v>0</v>
      </c>
      <c r="D96" s="131">
        <f t="shared" si="9"/>
        <v>0</v>
      </c>
      <c r="E96" s="131">
        <f t="shared" si="10"/>
        <v>0</v>
      </c>
      <c r="F96" s="148">
        <f t="shared" si="11"/>
        <v>0</v>
      </c>
      <c r="G96" s="132">
        <f t="shared" si="12"/>
        <v>0</v>
      </c>
    </row>
    <row r="97" spans="1:7" ht="12.75" hidden="1">
      <c r="A97" s="22">
        <f t="shared" si="13"/>
        <v>77</v>
      </c>
      <c r="B97" s="148">
        <f t="shared" si="14"/>
        <v>0</v>
      </c>
      <c r="C97" s="131">
        <f t="shared" si="8"/>
        <v>0</v>
      </c>
      <c r="D97" s="131">
        <f t="shared" si="9"/>
        <v>0</v>
      </c>
      <c r="E97" s="131">
        <f t="shared" si="10"/>
        <v>0</v>
      </c>
      <c r="F97" s="148">
        <f t="shared" si="11"/>
        <v>0</v>
      </c>
      <c r="G97" s="132">
        <f t="shared" si="12"/>
        <v>0</v>
      </c>
    </row>
    <row r="98" spans="1:7" ht="12.75" hidden="1">
      <c r="A98" s="22">
        <f t="shared" si="13"/>
        <v>78</v>
      </c>
      <c r="B98" s="148">
        <f t="shared" si="14"/>
        <v>0</v>
      </c>
      <c r="C98" s="131">
        <f t="shared" si="8"/>
        <v>0</v>
      </c>
      <c r="D98" s="131">
        <f t="shared" si="9"/>
        <v>0</v>
      </c>
      <c r="E98" s="131">
        <f t="shared" si="10"/>
        <v>0</v>
      </c>
      <c r="F98" s="148">
        <f t="shared" si="11"/>
        <v>0</v>
      </c>
      <c r="G98" s="132">
        <f t="shared" si="12"/>
        <v>0</v>
      </c>
    </row>
    <row r="99" spans="1:7" ht="12.75" hidden="1">
      <c r="A99" s="22">
        <f t="shared" si="13"/>
        <v>79</v>
      </c>
      <c r="B99" s="148">
        <f t="shared" si="14"/>
        <v>0</v>
      </c>
      <c r="C99" s="131">
        <f t="shared" si="8"/>
        <v>0</v>
      </c>
      <c r="D99" s="131">
        <f t="shared" si="9"/>
        <v>0</v>
      </c>
      <c r="E99" s="131">
        <f t="shared" si="10"/>
        <v>0</v>
      </c>
      <c r="F99" s="148">
        <f t="shared" si="11"/>
        <v>0</v>
      </c>
      <c r="G99" s="132">
        <f t="shared" si="12"/>
        <v>0</v>
      </c>
    </row>
    <row r="100" spans="1:7" ht="12.75" hidden="1">
      <c r="A100" s="22">
        <f t="shared" si="13"/>
        <v>80</v>
      </c>
      <c r="B100" s="148">
        <f t="shared" si="14"/>
        <v>0</v>
      </c>
      <c r="C100" s="131">
        <f t="shared" si="8"/>
        <v>0</v>
      </c>
      <c r="D100" s="131">
        <f t="shared" si="9"/>
        <v>0</v>
      </c>
      <c r="E100" s="131">
        <f t="shared" si="10"/>
        <v>0</v>
      </c>
      <c r="F100" s="148">
        <f t="shared" si="11"/>
        <v>0</v>
      </c>
      <c r="G100" s="132">
        <f t="shared" si="12"/>
        <v>0</v>
      </c>
    </row>
    <row r="101" spans="1:7" ht="12.75" hidden="1">
      <c r="A101" s="22">
        <f t="shared" si="13"/>
        <v>81</v>
      </c>
      <c r="B101" s="148">
        <f t="shared" si="14"/>
        <v>0</v>
      </c>
      <c r="C101" s="131">
        <f t="shared" si="8"/>
        <v>0</v>
      </c>
      <c r="D101" s="131">
        <f t="shared" si="9"/>
        <v>0</v>
      </c>
      <c r="E101" s="131">
        <f t="shared" si="10"/>
        <v>0</v>
      </c>
      <c r="F101" s="148">
        <f t="shared" si="11"/>
        <v>0</v>
      </c>
      <c r="G101" s="132">
        <f t="shared" si="12"/>
        <v>0</v>
      </c>
    </row>
    <row r="102" spans="1:7" ht="12.75" hidden="1">
      <c r="A102" s="22">
        <f t="shared" si="13"/>
        <v>82</v>
      </c>
      <c r="B102" s="148">
        <f t="shared" si="14"/>
        <v>0</v>
      </c>
      <c r="C102" s="131">
        <f t="shared" si="8"/>
        <v>0</v>
      </c>
      <c r="D102" s="131">
        <f t="shared" si="9"/>
        <v>0</v>
      </c>
      <c r="E102" s="131">
        <f t="shared" si="10"/>
        <v>0</v>
      </c>
      <c r="F102" s="148">
        <f t="shared" si="11"/>
        <v>0</v>
      </c>
      <c r="G102" s="132">
        <f t="shared" si="12"/>
        <v>0</v>
      </c>
    </row>
    <row r="103" spans="1:7" ht="12.75" hidden="1">
      <c r="A103" s="22">
        <f t="shared" si="13"/>
        <v>83</v>
      </c>
      <c r="B103" s="148">
        <f t="shared" si="14"/>
        <v>0</v>
      </c>
      <c r="C103" s="131">
        <f t="shared" si="8"/>
        <v>0</v>
      </c>
      <c r="D103" s="131">
        <f t="shared" si="9"/>
        <v>0</v>
      </c>
      <c r="E103" s="131">
        <f t="shared" si="10"/>
        <v>0</v>
      </c>
      <c r="F103" s="148">
        <f t="shared" si="11"/>
        <v>0</v>
      </c>
      <c r="G103" s="132">
        <f t="shared" si="12"/>
        <v>0</v>
      </c>
    </row>
    <row r="104" spans="1:7" ht="12.75" hidden="1">
      <c r="A104" s="22">
        <f t="shared" si="13"/>
        <v>84</v>
      </c>
      <c r="B104" s="148">
        <f t="shared" si="14"/>
        <v>0</v>
      </c>
      <c r="C104" s="131">
        <f t="shared" si="8"/>
        <v>0</v>
      </c>
      <c r="D104" s="131">
        <f t="shared" si="9"/>
        <v>0</v>
      </c>
      <c r="E104" s="131">
        <f t="shared" si="10"/>
        <v>0</v>
      </c>
      <c r="F104" s="148">
        <f t="shared" si="11"/>
        <v>0</v>
      </c>
      <c r="G104" s="132">
        <f t="shared" si="12"/>
        <v>0</v>
      </c>
    </row>
    <row r="105" spans="1:7" ht="12.75" hidden="1">
      <c r="A105" s="22">
        <f t="shared" si="13"/>
        <v>85</v>
      </c>
      <c r="B105" s="148">
        <f t="shared" si="14"/>
        <v>0</v>
      </c>
      <c r="C105" s="131">
        <f t="shared" si="8"/>
        <v>0</v>
      </c>
      <c r="D105" s="131">
        <f t="shared" si="9"/>
        <v>0</v>
      </c>
      <c r="E105" s="131">
        <f t="shared" si="10"/>
        <v>0</v>
      </c>
      <c r="F105" s="148">
        <f t="shared" si="11"/>
        <v>0</v>
      </c>
      <c r="G105" s="132">
        <f t="shared" si="12"/>
        <v>0</v>
      </c>
    </row>
    <row r="106" spans="1:7" ht="12.75" hidden="1">
      <c r="A106" s="22">
        <f t="shared" si="13"/>
        <v>86</v>
      </c>
      <c r="B106" s="148">
        <f t="shared" si="14"/>
        <v>0</v>
      </c>
      <c r="C106" s="131">
        <f t="shared" si="8"/>
        <v>0</v>
      </c>
      <c r="D106" s="131">
        <f t="shared" si="9"/>
        <v>0</v>
      </c>
      <c r="E106" s="131">
        <f t="shared" si="10"/>
        <v>0</v>
      </c>
      <c r="F106" s="148">
        <f t="shared" si="11"/>
        <v>0</v>
      </c>
      <c r="G106" s="132">
        <f t="shared" si="12"/>
        <v>0</v>
      </c>
    </row>
    <row r="107" spans="1:7" ht="12.75" hidden="1">
      <c r="A107" s="22">
        <f t="shared" si="13"/>
        <v>87</v>
      </c>
      <c r="B107" s="148">
        <f t="shared" si="14"/>
        <v>0</v>
      </c>
      <c r="C107" s="131">
        <f t="shared" si="8"/>
        <v>0</v>
      </c>
      <c r="D107" s="131">
        <f t="shared" si="9"/>
        <v>0</v>
      </c>
      <c r="E107" s="131">
        <f t="shared" si="10"/>
        <v>0</v>
      </c>
      <c r="F107" s="148">
        <f t="shared" si="11"/>
        <v>0</v>
      </c>
      <c r="G107" s="132">
        <f t="shared" si="12"/>
        <v>0</v>
      </c>
    </row>
    <row r="108" spans="1:7" ht="12.75" hidden="1">
      <c r="A108" s="22">
        <f t="shared" si="13"/>
        <v>88</v>
      </c>
      <c r="B108" s="148">
        <f t="shared" si="14"/>
        <v>0</v>
      </c>
      <c r="C108" s="131">
        <f t="shared" si="8"/>
        <v>0</v>
      </c>
      <c r="D108" s="131">
        <f t="shared" si="9"/>
        <v>0</v>
      </c>
      <c r="E108" s="131">
        <f t="shared" si="10"/>
        <v>0</v>
      </c>
      <c r="F108" s="148">
        <f t="shared" si="11"/>
        <v>0</v>
      </c>
      <c r="G108" s="132">
        <f t="shared" si="12"/>
        <v>0</v>
      </c>
    </row>
    <row r="109" spans="1:7" ht="12.75" hidden="1">
      <c r="A109" s="22">
        <f t="shared" si="13"/>
        <v>89</v>
      </c>
      <c r="B109" s="148">
        <f t="shared" si="14"/>
        <v>0</v>
      </c>
      <c r="C109" s="131">
        <f t="shared" si="8"/>
        <v>0</v>
      </c>
      <c r="D109" s="131">
        <f t="shared" si="9"/>
        <v>0</v>
      </c>
      <c r="E109" s="131">
        <f t="shared" si="10"/>
        <v>0</v>
      </c>
      <c r="F109" s="148">
        <f t="shared" si="11"/>
        <v>0</v>
      </c>
      <c r="G109" s="132">
        <f t="shared" si="12"/>
        <v>0</v>
      </c>
    </row>
    <row r="110" spans="1:7" ht="12.75" hidden="1">
      <c r="A110" s="22">
        <f t="shared" si="13"/>
        <v>90</v>
      </c>
      <c r="B110" s="148">
        <f t="shared" si="14"/>
        <v>0</v>
      </c>
      <c r="C110" s="131">
        <f t="shared" si="8"/>
        <v>0</v>
      </c>
      <c r="D110" s="131">
        <f t="shared" si="9"/>
        <v>0</v>
      </c>
      <c r="E110" s="131">
        <f t="shared" si="10"/>
        <v>0</v>
      </c>
      <c r="F110" s="148">
        <f t="shared" si="11"/>
        <v>0</v>
      </c>
      <c r="G110" s="132">
        <f t="shared" si="12"/>
        <v>0</v>
      </c>
    </row>
    <row r="111" spans="1:7" ht="12.75" hidden="1">
      <c r="A111" s="22">
        <f t="shared" si="13"/>
        <v>91</v>
      </c>
      <c r="B111" s="148">
        <f t="shared" si="14"/>
        <v>0</v>
      </c>
      <c r="C111" s="131">
        <f t="shared" si="8"/>
        <v>0</v>
      </c>
      <c r="D111" s="131">
        <f t="shared" si="9"/>
        <v>0</v>
      </c>
      <c r="E111" s="131">
        <f t="shared" si="10"/>
        <v>0</v>
      </c>
      <c r="F111" s="148">
        <f t="shared" si="11"/>
        <v>0</v>
      </c>
      <c r="G111" s="132">
        <f t="shared" si="12"/>
        <v>0</v>
      </c>
    </row>
    <row r="112" spans="1:7" ht="12.75" hidden="1">
      <c r="A112" s="22">
        <f t="shared" si="13"/>
        <v>92</v>
      </c>
      <c r="B112" s="148">
        <f t="shared" si="14"/>
        <v>0</v>
      </c>
      <c r="C112" s="131">
        <f t="shared" si="8"/>
        <v>0</v>
      </c>
      <c r="D112" s="131">
        <f t="shared" si="9"/>
        <v>0</v>
      </c>
      <c r="E112" s="131">
        <f t="shared" si="10"/>
        <v>0</v>
      </c>
      <c r="F112" s="148">
        <f t="shared" si="11"/>
        <v>0</v>
      </c>
      <c r="G112" s="132">
        <f t="shared" si="12"/>
        <v>0</v>
      </c>
    </row>
    <row r="113" spans="1:7" ht="12.75" hidden="1">
      <c r="A113" s="22">
        <f t="shared" si="13"/>
        <v>93</v>
      </c>
      <c r="B113" s="148">
        <f t="shared" si="14"/>
        <v>0</v>
      </c>
      <c r="C113" s="131">
        <f t="shared" si="8"/>
        <v>0</v>
      </c>
      <c r="D113" s="131">
        <f t="shared" si="9"/>
        <v>0</v>
      </c>
      <c r="E113" s="131">
        <f t="shared" si="10"/>
        <v>0</v>
      </c>
      <c r="F113" s="148">
        <f t="shared" si="11"/>
        <v>0</v>
      </c>
      <c r="G113" s="132">
        <f t="shared" si="12"/>
        <v>0</v>
      </c>
    </row>
    <row r="114" spans="1:7" ht="12.75" hidden="1">
      <c r="A114" s="22">
        <f t="shared" si="13"/>
        <v>94</v>
      </c>
      <c r="B114" s="148">
        <f t="shared" si="14"/>
        <v>0</v>
      </c>
      <c r="C114" s="131">
        <f t="shared" si="8"/>
        <v>0</v>
      </c>
      <c r="D114" s="131">
        <f t="shared" si="9"/>
        <v>0</v>
      </c>
      <c r="E114" s="131">
        <f t="shared" si="10"/>
        <v>0</v>
      </c>
      <c r="F114" s="148">
        <f t="shared" si="11"/>
        <v>0</v>
      </c>
      <c r="G114" s="132">
        <f t="shared" si="12"/>
        <v>0</v>
      </c>
    </row>
    <row r="115" spans="1:7" ht="12.75" hidden="1">
      <c r="A115" s="22">
        <f t="shared" si="13"/>
        <v>95</v>
      </c>
      <c r="B115" s="148">
        <f t="shared" si="14"/>
        <v>0</v>
      </c>
      <c r="C115" s="131">
        <f t="shared" si="8"/>
        <v>0</v>
      </c>
      <c r="D115" s="131">
        <f t="shared" si="9"/>
        <v>0</v>
      </c>
      <c r="E115" s="131">
        <f t="shared" si="10"/>
        <v>0</v>
      </c>
      <c r="F115" s="148">
        <f t="shared" si="11"/>
        <v>0</v>
      </c>
      <c r="G115" s="132">
        <f t="shared" si="12"/>
        <v>0</v>
      </c>
    </row>
    <row r="116" spans="1:7" ht="12.75" hidden="1">
      <c r="A116" s="22">
        <f t="shared" si="13"/>
        <v>96</v>
      </c>
      <c r="B116" s="148">
        <f t="shared" si="14"/>
        <v>0</v>
      </c>
      <c r="C116" s="131">
        <f t="shared" si="8"/>
        <v>0</v>
      </c>
      <c r="D116" s="131">
        <f t="shared" si="9"/>
        <v>0</v>
      </c>
      <c r="E116" s="131">
        <f t="shared" si="10"/>
        <v>0</v>
      </c>
      <c r="F116" s="148">
        <f t="shared" si="11"/>
        <v>0</v>
      </c>
      <c r="G116" s="132">
        <f t="shared" si="12"/>
        <v>0</v>
      </c>
    </row>
    <row r="117" spans="1:7" ht="12.75" hidden="1">
      <c r="A117" s="22">
        <f t="shared" si="13"/>
        <v>97</v>
      </c>
      <c r="B117" s="148">
        <f t="shared" si="14"/>
        <v>0</v>
      </c>
      <c r="C117" s="131">
        <f t="shared" si="8"/>
        <v>0</v>
      </c>
      <c r="D117" s="131">
        <f t="shared" si="9"/>
        <v>0</v>
      </c>
      <c r="E117" s="131">
        <f t="shared" si="10"/>
        <v>0</v>
      </c>
      <c r="F117" s="148">
        <f t="shared" si="11"/>
        <v>0</v>
      </c>
      <c r="G117" s="132">
        <f t="shared" si="12"/>
        <v>0</v>
      </c>
    </row>
    <row r="118" spans="1:7" ht="12.75" hidden="1">
      <c r="A118" s="22">
        <f t="shared" si="13"/>
        <v>98</v>
      </c>
      <c r="B118" s="148">
        <f t="shared" si="14"/>
        <v>0</v>
      </c>
      <c r="C118" s="131">
        <f t="shared" si="8"/>
        <v>0</v>
      </c>
      <c r="D118" s="131">
        <f t="shared" si="9"/>
        <v>0</v>
      </c>
      <c r="E118" s="131">
        <f t="shared" si="10"/>
        <v>0</v>
      </c>
      <c r="F118" s="148">
        <f t="shared" si="11"/>
        <v>0</v>
      </c>
      <c r="G118" s="132">
        <f t="shared" si="12"/>
        <v>0</v>
      </c>
    </row>
    <row r="119" spans="1:7" ht="12.75" hidden="1">
      <c r="A119" s="22">
        <f t="shared" si="13"/>
        <v>99</v>
      </c>
      <c r="B119" s="148">
        <f t="shared" si="14"/>
        <v>0</v>
      </c>
      <c r="C119" s="131">
        <f t="shared" si="8"/>
        <v>0</v>
      </c>
      <c r="D119" s="131">
        <f t="shared" si="9"/>
        <v>0</v>
      </c>
      <c r="E119" s="131">
        <f t="shared" si="10"/>
        <v>0</v>
      </c>
      <c r="F119" s="148">
        <f t="shared" si="11"/>
        <v>0</v>
      </c>
      <c r="G119" s="132">
        <f t="shared" si="12"/>
        <v>0</v>
      </c>
    </row>
    <row r="120" spans="1:7" ht="12.75" hidden="1">
      <c r="A120" s="22">
        <f t="shared" si="13"/>
        <v>100</v>
      </c>
      <c r="B120" s="148">
        <f t="shared" si="14"/>
        <v>0</v>
      </c>
      <c r="C120" s="131">
        <f t="shared" si="8"/>
        <v>0</v>
      </c>
      <c r="D120" s="131">
        <f t="shared" si="9"/>
        <v>0</v>
      </c>
      <c r="E120" s="131">
        <f t="shared" si="10"/>
        <v>0</v>
      </c>
      <c r="F120" s="148">
        <f t="shared" si="11"/>
        <v>0</v>
      </c>
      <c r="G120" s="132">
        <f t="shared" si="12"/>
        <v>0</v>
      </c>
    </row>
    <row r="121" spans="1:7" ht="12.75" hidden="1">
      <c r="A121" s="22">
        <f t="shared" si="13"/>
        <v>101</v>
      </c>
      <c r="B121" s="148">
        <f t="shared" si="14"/>
        <v>0</v>
      </c>
      <c r="C121" s="131">
        <f t="shared" si="8"/>
        <v>0</v>
      </c>
      <c r="D121" s="131">
        <f t="shared" si="9"/>
        <v>0</v>
      </c>
      <c r="E121" s="131">
        <f t="shared" si="10"/>
        <v>0</v>
      </c>
      <c r="F121" s="148">
        <f t="shared" si="11"/>
        <v>0</v>
      </c>
      <c r="G121" s="132">
        <f t="shared" si="12"/>
        <v>0</v>
      </c>
    </row>
    <row r="122" spans="1:7" ht="12.75" hidden="1">
      <c r="A122" s="22">
        <f t="shared" si="13"/>
        <v>102</v>
      </c>
      <c r="B122" s="148">
        <f t="shared" si="14"/>
        <v>0</v>
      </c>
      <c r="C122" s="131">
        <f t="shared" si="8"/>
        <v>0</v>
      </c>
      <c r="D122" s="131">
        <f t="shared" si="9"/>
        <v>0</v>
      </c>
      <c r="E122" s="131">
        <f t="shared" si="10"/>
        <v>0</v>
      </c>
      <c r="F122" s="148">
        <f t="shared" si="11"/>
        <v>0</v>
      </c>
      <c r="G122" s="132">
        <f t="shared" si="12"/>
        <v>0</v>
      </c>
    </row>
    <row r="123" spans="1:7" ht="12.75" hidden="1">
      <c r="A123" s="22">
        <f t="shared" si="13"/>
        <v>103</v>
      </c>
      <c r="B123" s="148">
        <f t="shared" si="14"/>
        <v>0</v>
      </c>
      <c r="C123" s="131">
        <f t="shared" si="8"/>
        <v>0</v>
      </c>
      <c r="D123" s="131">
        <f t="shared" si="9"/>
        <v>0</v>
      </c>
      <c r="E123" s="131">
        <f t="shared" si="10"/>
        <v>0</v>
      </c>
      <c r="F123" s="148">
        <f t="shared" si="11"/>
        <v>0</v>
      </c>
      <c r="G123" s="132">
        <f t="shared" si="12"/>
        <v>0</v>
      </c>
    </row>
    <row r="124" spans="1:7" ht="12.75" hidden="1">
      <c r="A124" s="22">
        <f t="shared" si="13"/>
        <v>104</v>
      </c>
      <c r="B124" s="148">
        <f t="shared" si="14"/>
        <v>0</v>
      </c>
      <c r="C124" s="131">
        <f t="shared" si="8"/>
        <v>0</v>
      </c>
      <c r="D124" s="131">
        <f t="shared" si="9"/>
        <v>0</v>
      </c>
      <c r="E124" s="131">
        <f t="shared" si="10"/>
        <v>0</v>
      </c>
      <c r="F124" s="148">
        <f t="shared" si="11"/>
        <v>0</v>
      </c>
      <c r="G124" s="132">
        <f t="shared" si="12"/>
        <v>0</v>
      </c>
    </row>
    <row r="125" spans="1:7" ht="12.75" hidden="1">
      <c r="A125" s="22">
        <f t="shared" si="13"/>
        <v>105</v>
      </c>
      <c r="B125" s="148">
        <f t="shared" si="14"/>
        <v>0</v>
      </c>
      <c r="C125" s="131">
        <f t="shared" si="8"/>
        <v>0</v>
      </c>
      <c r="D125" s="131">
        <f t="shared" si="9"/>
        <v>0</v>
      </c>
      <c r="E125" s="131">
        <f t="shared" si="10"/>
        <v>0</v>
      </c>
      <c r="F125" s="148">
        <f t="shared" si="11"/>
        <v>0</v>
      </c>
      <c r="G125" s="132">
        <f t="shared" si="12"/>
        <v>0</v>
      </c>
    </row>
    <row r="126" spans="1:7" ht="12.75" hidden="1">
      <c r="A126" s="22">
        <f t="shared" si="13"/>
        <v>106</v>
      </c>
      <c r="B126" s="148">
        <f t="shared" si="14"/>
        <v>0</v>
      </c>
      <c r="C126" s="131">
        <f t="shared" si="8"/>
        <v>0</v>
      </c>
      <c r="D126" s="131">
        <f t="shared" si="9"/>
        <v>0</v>
      </c>
      <c r="E126" s="131">
        <f t="shared" si="10"/>
        <v>0</v>
      </c>
      <c r="F126" s="148">
        <f t="shared" si="11"/>
        <v>0</v>
      </c>
      <c r="G126" s="132">
        <f t="shared" si="12"/>
        <v>0</v>
      </c>
    </row>
    <row r="127" spans="1:7" ht="12.75" hidden="1">
      <c r="A127" s="22">
        <f t="shared" si="13"/>
        <v>107</v>
      </c>
      <c r="B127" s="148">
        <f t="shared" si="14"/>
        <v>0</v>
      </c>
      <c r="C127" s="131">
        <f t="shared" si="8"/>
        <v>0</v>
      </c>
      <c r="D127" s="131">
        <f t="shared" si="9"/>
        <v>0</v>
      </c>
      <c r="E127" s="131">
        <f t="shared" si="10"/>
        <v>0</v>
      </c>
      <c r="F127" s="148">
        <f t="shared" si="11"/>
        <v>0</v>
      </c>
      <c r="G127" s="132">
        <f t="shared" si="12"/>
        <v>0</v>
      </c>
    </row>
    <row r="128" spans="1:7" ht="12.75" hidden="1">
      <c r="A128" s="22">
        <f t="shared" si="13"/>
        <v>108</v>
      </c>
      <c r="B128" s="148">
        <f t="shared" si="14"/>
        <v>0</v>
      </c>
      <c r="C128" s="131">
        <f t="shared" si="8"/>
        <v>0</v>
      </c>
      <c r="D128" s="131">
        <f t="shared" si="9"/>
        <v>0</v>
      </c>
      <c r="E128" s="131">
        <f t="shared" si="10"/>
        <v>0</v>
      </c>
      <c r="F128" s="148">
        <f t="shared" si="11"/>
        <v>0</v>
      </c>
      <c r="G128" s="132">
        <f t="shared" si="12"/>
        <v>0</v>
      </c>
    </row>
    <row r="129" spans="1:7" ht="12.75" hidden="1">
      <c r="A129" s="22">
        <f t="shared" si="13"/>
        <v>109</v>
      </c>
      <c r="B129" s="148">
        <f t="shared" si="14"/>
        <v>0</v>
      </c>
      <c r="C129" s="131">
        <f t="shared" si="8"/>
        <v>0</v>
      </c>
      <c r="D129" s="131">
        <f t="shared" si="9"/>
        <v>0</v>
      </c>
      <c r="E129" s="131">
        <f t="shared" si="10"/>
        <v>0</v>
      </c>
      <c r="F129" s="148">
        <f t="shared" si="11"/>
        <v>0</v>
      </c>
      <c r="G129" s="132">
        <f t="shared" si="12"/>
        <v>0</v>
      </c>
    </row>
    <row r="130" spans="1:7" ht="12.75" hidden="1">
      <c r="A130" s="22">
        <f t="shared" si="13"/>
        <v>110</v>
      </c>
      <c r="B130" s="148">
        <f t="shared" si="14"/>
        <v>0</v>
      </c>
      <c r="C130" s="131">
        <f t="shared" si="8"/>
        <v>0</v>
      </c>
      <c r="D130" s="131">
        <f t="shared" si="9"/>
        <v>0</v>
      </c>
      <c r="E130" s="131">
        <f t="shared" si="10"/>
        <v>0</v>
      </c>
      <c r="F130" s="148">
        <f t="shared" si="11"/>
        <v>0</v>
      </c>
      <c r="G130" s="132">
        <f t="shared" si="12"/>
        <v>0</v>
      </c>
    </row>
    <row r="131" spans="1:7" ht="12.75" hidden="1">
      <c r="A131" s="22">
        <f t="shared" si="13"/>
        <v>111</v>
      </c>
      <c r="B131" s="148">
        <f t="shared" si="14"/>
        <v>0</v>
      </c>
      <c r="C131" s="131">
        <f t="shared" si="8"/>
        <v>0</v>
      </c>
      <c r="D131" s="131">
        <f t="shared" si="9"/>
        <v>0</v>
      </c>
      <c r="E131" s="131">
        <f t="shared" si="10"/>
        <v>0</v>
      </c>
      <c r="F131" s="148">
        <f t="shared" si="11"/>
        <v>0</v>
      </c>
      <c r="G131" s="132">
        <f t="shared" si="12"/>
        <v>0</v>
      </c>
    </row>
    <row r="132" spans="1:7" ht="12.75" hidden="1">
      <c r="A132" s="22">
        <f t="shared" si="13"/>
        <v>112</v>
      </c>
      <c r="B132" s="148">
        <f t="shared" si="14"/>
        <v>0</v>
      </c>
      <c r="C132" s="131">
        <f t="shared" si="8"/>
        <v>0</v>
      </c>
      <c r="D132" s="131">
        <f t="shared" si="9"/>
        <v>0</v>
      </c>
      <c r="E132" s="131">
        <f t="shared" si="10"/>
        <v>0</v>
      </c>
      <c r="F132" s="148">
        <f t="shared" si="11"/>
        <v>0</v>
      </c>
      <c r="G132" s="132">
        <f t="shared" si="12"/>
        <v>0</v>
      </c>
    </row>
    <row r="133" spans="1:7" ht="12.75" hidden="1">
      <c r="A133" s="22">
        <f t="shared" si="13"/>
        <v>113</v>
      </c>
      <c r="B133" s="148">
        <f t="shared" si="14"/>
        <v>0</v>
      </c>
      <c r="C133" s="131">
        <f t="shared" si="8"/>
        <v>0</v>
      </c>
      <c r="D133" s="131">
        <f t="shared" si="9"/>
        <v>0</v>
      </c>
      <c r="E133" s="131">
        <f t="shared" si="10"/>
        <v>0</v>
      </c>
      <c r="F133" s="148">
        <f t="shared" si="11"/>
        <v>0</v>
      </c>
      <c r="G133" s="132">
        <f t="shared" si="12"/>
        <v>0</v>
      </c>
    </row>
    <row r="134" spans="1:7" ht="12.75" hidden="1">
      <c r="A134" s="22">
        <f t="shared" si="13"/>
        <v>114</v>
      </c>
      <c r="B134" s="148">
        <f t="shared" si="14"/>
        <v>0</v>
      </c>
      <c r="C134" s="131">
        <f t="shared" si="8"/>
        <v>0</v>
      </c>
      <c r="D134" s="131">
        <f t="shared" si="9"/>
        <v>0</v>
      </c>
      <c r="E134" s="131">
        <f t="shared" si="10"/>
        <v>0</v>
      </c>
      <c r="F134" s="148">
        <f t="shared" si="11"/>
        <v>0</v>
      </c>
      <c r="G134" s="132">
        <f t="shared" si="12"/>
        <v>0</v>
      </c>
    </row>
    <row r="135" spans="1:7" ht="12.75" hidden="1">
      <c r="A135" s="22">
        <f t="shared" si="13"/>
        <v>115</v>
      </c>
      <c r="B135" s="148">
        <f t="shared" si="14"/>
        <v>0</v>
      </c>
      <c r="C135" s="131">
        <f t="shared" si="8"/>
        <v>0</v>
      </c>
      <c r="D135" s="131">
        <f t="shared" si="9"/>
        <v>0</v>
      </c>
      <c r="E135" s="131">
        <f t="shared" si="10"/>
        <v>0</v>
      </c>
      <c r="F135" s="148">
        <f t="shared" si="11"/>
        <v>0</v>
      </c>
      <c r="G135" s="132">
        <f t="shared" si="12"/>
        <v>0</v>
      </c>
    </row>
    <row r="136" spans="1:7" ht="12.75" hidden="1">
      <c r="A136" s="22">
        <f t="shared" si="13"/>
        <v>116</v>
      </c>
      <c r="B136" s="148">
        <f t="shared" si="14"/>
        <v>0</v>
      </c>
      <c r="C136" s="131">
        <f t="shared" si="8"/>
        <v>0</v>
      </c>
      <c r="D136" s="131">
        <f t="shared" si="9"/>
        <v>0</v>
      </c>
      <c r="E136" s="131">
        <f t="shared" si="10"/>
        <v>0</v>
      </c>
      <c r="F136" s="148">
        <f t="shared" si="11"/>
        <v>0</v>
      </c>
      <c r="G136" s="132">
        <f t="shared" si="12"/>
        <v>0</v>
      </c>
    </row>
    <row r="137" spans="1:7" ht="12.75" hidden="1">
      <c r="A137" s="22">
        <f t="shared" si="13"/>
        <v>117</v>
      </c>
      <c r="B137" s="148">
        <f t="shared" si="14"/>
        <v>0</v>
      </c>
      <c r="C137" s="131">
        <f t="shared" si="8"/>
        <v>0</v>
      </c>
      <c r="D137" s="131">
        <f t="shared" si="9"/>
        <v>0</v>
      </c>
      <c r="E137" s="131">
        <f t="shared" si="10"/>
        <v>0</v>
      </c>
      <c r="F137" s="148">
        <f t="shared" si="11"/>
        <v>0</v>
      </c>
      <c r="G137" s="132">
        <f t="shared" si="12"/>
        <v>0</v>
      </c>
    </row>
    <row r="138" spans="1:7" ht="12.75" hidden="1">
      <c r="A138" s="22">
        <f t="shared" si="13"/>
        <v>118</v>
      </c>
      <c r="B138" s="148">
        <f t="shared" si="14"/>
        <v>0</v>
      </c>
      <c r="C138" s="131">
        <f t="shared" si="8"/>
        <v>0</v>
      </c>
      <c r="D138" s="131">
        <f t="shared" si="9"/>
        <v>0</v>
      </c>
      <c r="E138" s="131">
        <f t="shared" si="10"/>
        <v>0</v>
      </c>
      <c r="F138" s="148">
        <f t="shared" si="11"/>
        <v>0</v>
      </c>
      <c r="G138" s="132">
        <f t="shared" si="12"/>
        <v>0</v>
      </c>
    </row>
    <row r="139" spans="1:7" ht="12.75" hidden="1">
      <c r="A139" s="22">
        <f t="shared" si="13"/>
        <v>119</v>
      </c>
      <c r="B139" s="148">
        <f t="shared" si="14"/>
        <v>0</v>
      </c>
      <c r="C139" s="131">
        <f t="shared" si="8"/>
        <v>0</v>
      </c>
      <c r="D139" s="131">
        <f t="shared" si="9"/>
        <v>0</v>
      </c>
      <c r="E139" s="131">
        <f t="shared" si="10"/>
        <v>0</v>
      </c>
      <c r="F139" s="148">
        <f t="shared" si="11"/>
        <v>0</v>
      </c>
      <c r="G139" s="132">
        <f t="shared" si="12"/>
        <v>0</v>
      </c>
    </row>
    <row r="140" spans="1:7" ht="12.75" hidden="1">
      <c r="A140" s="22">
        <f t="shared" si="13"/>
        <v>120</v>
      </c>
      <c r="B140" s="148">
        <f t="shared" si="14"/>
        <v>0</v>
      </c>
      <c r="C140" s="131">
        <f t="shared" si="8"/>
        <v>0</v>
      </c>
      <c r="D140" s="131">
        <f t="shared" si="9"/>
        <v>0</v>
      </c>
      <c r="E140" s="131">
        <f t="shared" si="10"/>
        <v>0</v>
      </c>
      <c r="F140" s="148">
        <f t="shared" si="11"/>
        <v>0</v>
      </c>
      <c r="G140" s="132">
        <f t="shared" si="12"/>
        <v>0</v>
      </c>
    </row>
    <row r="141" spans="1:7" ht="12.75" hidden="1">
      <c r="A141" s="22">
        <f t="shared" si="13"/>
        <v>121</v>
      </c>
      <c r="B141" s="148">
        <f t="shared" si="14"/>
        <v>0</v>
      </c>
      <c r="C141" s="131">
        <f t="shared" si="8"/>
        <v>0</v>
      </c>
      <c r="D141" s="131">
        <f t="shared" si="9"/>
        <v>0</v>
      </c>
      <c r="E141" s="131">
        <f t="shared" si="10"/>
        <v>0</v>
      </c>
      <c r="F141" s="148">
        <f t="shared" si="11"/>
        <v>0</v>
      </c>
      <c r="G141" s="132">
        <f t="shared" si="12"/>
        <v>0</v>
      </c>
    </row>
    <row r="142" spans="1:7" ht="12.75" hidden="1">
      <c r="A142" s="22">
        <f t="shared" si="13"/>
        <v>122</v>
      </c>
      <c r="B142" s="148">
        <f t="shared" si="14"/>
        <v>0</v>
      </c>
      <c r="C142" s="131">
        <f t="shared" si="8"/>
        <v>0</v>
      </c>
      <c r="D142" s="131">
        <f t="shared" si="9"/>
        <v>0</v>
      </c>
      <c r="E142" s="131">
        <f t="shared" si="10"/>
        <v>0</v>
      </c>
      <c r="F142" s="148">
        <f t="shared" si="11"/>
        <v>0</v>
      </c>
      <c r="G142" s="132">
        <f t="shared" si="12"/>
        <v>0</v>
      </c>
    </row>
    <row r="143" spans="1:7" ht="12.75" hidden="1">
      <c r="A143" s="22">
        <f t="shared" si="13"/>
        <v>123</v>
      </c>
      <c r="B143" s="148">
        <f t="shared" si="14"/>
        <v>0</v>
      </c>
      <c r="C143" s="131">
        <f t="shared" si="8"/>
        <v>0</v>
      </c>
      <c r="D143" s="131">
        <f t="shared" si="9"/>
        <v>0</v>
      </c>
      <c r="E143" s="131">
        <f t="shared" si="10"/>
        <v>0</v>
      </c>
      <c r="F143" s="148">
        <f t="shared" si="11"/>
        <v>0</v>
      </c>
      <c r="G143" s="132">
        <f t="shared" si="12"/>
        <v>0</v>
      </c>
    </row>
    <row r="144" spans="1:7" ht="12.75" hidden="1">
      <c r="A144" s="22">
        <f t="shared" si="13"/>
        <v>124</v>
      </c>
      <c r="B144" s="148">
        <f t="shared" si="14"/>
        <v>0</v>
      </c>
      <c r="C144" s="131">
        <f t="shared" si="8"/>
        <v>0</v>
      </c>
      <c r="D144" s="131">
        <f t="shared" si="9"/>
        <v>0</v>
      </c>
      <c r="E144" s="131">
        <f t="shared" si="10"/>
        <v>0</v>
      </c>
      <c r="F144" s="148">
        <f t="shared" si="11"/>
        <v>0</v>
      </c>
      <c r="G144" s="132">
        <f t="shared" si="12"/>
        <v>0</v>
      </c>
    </row>
    <row r="145" spans="1:7" ht="12.75" hidden="1">
      <c r="A145" s="22">
        <f t="shared" si="13"/>
        <v>125</v>
      </c>
      <c r="B145" s="148">
        <f t="shared" si="14"/>
        <v>0</v>
      </c>
      <c r="C145" s="131">
        <f t="shared" si="8"/>
        <v>0</v>
      </c>
      <c r="D145" s="131">
        <f t="shared" si="9"/>
        <v>0</v>
      </c>
      <c r="E145" s="131">
        <f t="shared" si="10"/>
        <v>0</v>
      </c>
      <c r="F145" s="148">
        <f t="shared" si="11"/>
        <v>0</v>
      </c>
      <c r="G145" s="132">
        <f t="shared" si="12"/>
        <v>0</v>
      </c>
    </row>
    <row r="146" spans="1:7" ht="12.75" hidden="1">
      <c r="A146" s="22">
        <f t="shared" si="13"/>
        <v>126</v>
      </c>
      <c r="B146" s="148">
        <f t="shared" si="14"/>
        <v>0</v>
      </c>
      <c r="C146" s="131">
        <f t="shared" si="8"/>
        <v>0</v>
      </c>
      <c r="D146" s="131">
        <f t="shared" si="9"/>
        <v>0</v>
      </c>
      <c r="E146" s="131">
        <f t="shared" si="10"/>
        <v>0</v>
      </c>
      <c r="F146" s="148">
        <f t="shared" si="11"/>
        <v>0</v>
      </c>
      <c r="G146" s="132">
        <f t="shared" si="12"/>
        <v>0</v>
      </c>
    </row>
    <row r="147" spans="1:7" ht="12.75" hidden="1">
      <c r="A147" s="22">
        <f t="shared" si="13"/>
        <v>127</v>
      </c>
      <c r="B147" s="148">
        <f t="shared" si="14"/>
        <v>0</v>
      </c>
      <c r="C147" s="131">
        <f t="shared" si="8"/>
        <v>0</v>
      </c>
      <c r="D147" s="131">
        <f t="shared" si="9"/>
        <v>0</v>
      </c>
      <c r="E147" s="131">
        <f t="shared" si="10"/>
        <v>0</v>
      </c>
      <c r="F147" s="148">
        <f t="shared" si="11"/>
        <v>0</v>
      </c>
      <c r="G147" s="132">
        <f t="shared" si="12"/>
        <v>0</v>
      </c>
    </row>
    <row r="148" spans="1:7" ht="12.75" hidden="1">
      <c r="A148" s="22">
        <f t="shared" si="13"/>
        <v>128</v>
      </c>
      <c r="B148" s="148">
        <f t="shared" si="14"/>
        <v>0</v>
      </c>
      <c r="C148" s="131">
        <f t="shared" si="8"/>
        <v>0</v>
      </c>
      <c r="D148" s="131">
        <f t="shared" si="9"/>
        <v>0</v>
      </c>
      <c r="E148" s="131">
        <f t="shared" si="10"/>
        <v>0</v>
      </c>
      <c r="F148" s="148">
        <f t="shared" si="11"/>
        <v>0</v>
      </c>
      <c r="G148" s="132">
        <f t="shared" si="12"/>
        <v>0</v>
      </c>
    </row>
    <row r="149" spans="1:7" ht="12.75" hidden="1">
      <c r="A149" s="22">
        <f t="shared" si="13"/>
        <v>129</v>
      </c>
      <c r="B149" s="148">
        <f t="shared" si="14"/>
        <v>0</v>
      </c>
      <c r="C149" s="131">
        <f aca="true" t="shared" si="15" ref="C149:C212">IF(A149&lt;=$D$10,D149+$D$13,0)</f>
        <v>0</v>
      </c>
      <c r="D149" s="131">
        <f aca="true" t="shared" si="16" ref="D149:D212">E149+F149</f>
        <v>0</v>
      </c>
      <c r="E149" s="131">
        <f aca="true" t="shared" si="17" ref="E149:E212">B149*$D$11</f>
        <v>0</v>
      </c>
      <c r="F149" s="148">
        <f aca="true" t="shared" si="18" ref="F149:F212">IF(A149&lt;=$D$10,$D$12*-1,0)</f>
        <v>0</v>
      </c>
      <c r="G149" s="132">
        <f aca="true" t="shared" si="19" ref="G149:G212">B149-F149</f>
        <v>0</v>
      </c>
    </row>
    <row r="150" spans="1:7" ht="12.75" hidden="1">
      <c r="A150" s="22">
        <f aca="true" t="shared" si="20" ref="A150:A213">A149+1</f>
        <v>130</v>
      </c>
      <c r="B150" s="148">
        <f aca="true" t="shared" si="21" ref="B150:B213">B149-F149</f>
        <v>0</v>
      </c>
      <c r="C150" s="131">
        <f t="shared" si="15"/>
        <v>0</v>
      </c>
      <c r="D150" s="131">
        <f t="shared" si="16"/>
        <v>0</v>
      </c>
      <c r="E150" s="131">
        <f t="shared" si="17"/>
        <v>0</v>
      </c>
      <c r="F150" s="148">
        <f t="shared" si="18"/>
        <v>0</v>
      </c>
      <c r="G150" s="132">
        <f t="shared" si="19"/>
        <v>0</v>
      </c>
    </row>
    <row r="151" spans="1:7" ht="12.75" hidden="1">
      <c r="A151" s="22">
        <f t="shared" si="20"/>
        <v>131</v>
      </c>
      <c r="B151" s="148">
        <f t="shared" si="21"/>
        <v>0</v>
      </c>
      <c r="C151" s="131">
        <f t="shared" si="15"/>
        <v>0</v>
      </c>
      <c r="D151" s="131">
        <f t="shared" si="16"/>
        <v>0</v>
      </c>
      <c r="E151" s="131">
        <f t="shared" si="17"/>
        <v>0</v>
      </c>
      <c r="F151" s="148">
        <f t="shared" si="18"/>
        <v>0</v>
      </c>
      <c r="G151" s="132">
        <f t="shared" si="19"/>
        <v>0</v>
      </c>
    </row>
    <row r="152" spans="1:7" ht="12.75" hidden="1">
      <c r="A152" s="22">
        <f t="shared" si="20"/>
        <v>132</v>
      </c>
      <c r="B152" s="148">
        <f t="shared" si="21"/>
        <v>0</v>
      </c>
      <c r="C152" s="131">
        <f t="shared" si="15"/>
        <v>0</v>
      </c>
      <c r="D152" s="131">
        <f t="shared" si="16"/>
        <v>0</v>
      </c>
      <c r="E152" s="131">
        <f t="shared" si="17"/>
        <v>0</v>
      </c>
      <c r="F152" s="148">
        <f t="shared" si="18"/>
        <v>0</v>
      </c>
      <c r="G152" s="132">
        <f t="shared" si="19"/>
        <v>0</v>
      </c>
    </row>
    <row r="153" spans="1:7" ht="12.75" hidden="1">
      <c r="A153" s="22">
        <f t="shared" si="20"/>
        <v>133</v>
      </c>
      <c r="B153" s="148">
        <f t="shared" si="21"/>
        <v>0</v>
      </c>
      <c r="C153" s="131">
        <f t="shared" si="15"/>
        <v>0</v>
      </c>
      <c r="D153" s="131">
        <f t="shared" si="16"/>
        <v>0</v>
      </c>
      <c r="E153" s="131">
        <f t="shared" si="17"/>
        <v>0</v>
      </c>
      <c r="F153" s="148">
        <f t="shared" si="18"/>
        <v>0</v>
      </c>
      <c r="G153" s="132">
        <f t="shared" si="19"/>
        <v>0</v>
      </c>
    </row>
    <row r="154" spans="1:7" ht="12.75" hidden="1">
      <c r="A154" s="22">
        <f t="shared" si="20"/>
        <v>134</v>
      </c>
      <c r="B154" s="148">
        <f t="shared" si="21"/>
        <v>0</v>
      </c>
      <c r="C154" s="131">
        <f t="shared" si="15"/>
        <v>0</v>
      </c>
      <c r="D154" s="131">
        <f t="shared" si="16"/>
        <v>0</v>
      </c>
      <c r="E154" s="131">
        <f t="shared" si="17"/>
        <v>0</v>
      </c>
      <c r="F154" s="148">
        <f t="shared" si="18"/>
        <v>0</v>
      </c>
      <c r="G154" s="132">
        <f t="shared" si="19"/>
        <v>0</v>
      </c>
    </row>
    <row r="155" spans="1:7" ht="12.75" hidden="1">
      <c r="A155" s="22">
        <f t="shared" si="20"/>
        <v>135</v>
      </c>
      <c r="B155" s="148">
        <f t="shared" si="21"/>
        <v>0</v>
      </c>
      <c r="C155" s="131">
        <f t="shared" si="15"/>
        <v>0</v>
      </c>
      <c r="D155" s="131">
        <f t="shared" si="16"/>
        <v>0</v>
      </c>
      <c r="E155" s="131">
        <f t="shared" si="17"/>
        <v>0</v>
      </c>
      <c r="F155" s="148">
        <f t="shared" si="18"/>
        <v>0</v>
      </c>
      <c r="G155" s="132">
        <f t="shared" si="19"/>
        <v>0</v>
      </c>
    </row>
    <row r="156" spans="1:7" ht="12.75" hidden="1">
      <c r="A156" s="22">
        <f t="shared" si="20"/>
        <v>136</v>
      </c>
      <c r="B156" s="148">
        <f t="shared" si="21"/>
        <v>0</v>
      </c>
      <c r="C156" s="131">
        <f t="shared" si="15"/>
        <v>0</v>
      </c>
      <c r="D156" s="131">
        <f t="shared" si="16"/>
        <v>0</v>
      </c>
      <c r="E156" s="131">
        <f t="shared" si="17"/>
        <v>0</v>
      </c>
      <c r="F156" s="148">
        <f t="shared" si="18"/>
        <v>0</v>
      </c>
      <c r="G156" s="132">
        <f t="shared" si="19"/>
        <v>0</v>
      </c>
    </row>
    <row r="157" spans="1:7" ht="12.75" hidden="1">
      <c r="A157" s="22">
        <f t="shared" si="20"/>
        <v>137</v>
      </c>
      <c r="B157" s="148">
        <f t="shared" si="21"/>
        <v>0</v>
      </c>
      <c r="C157" s="131">
        <f t="shared" si="15"/>
        <v>0</v>
      </c>
      <c r="D157" s="131">
        <f t="shared" si="16"/>
        <v>0</v>
      </c>
      <c r="E157" s="131">
        <f t="shared" si="17"/>
        <v>0</v>
      </c>
      <c r="F157" s="148">
        <f t="shared" si="18"/>
        <v>0</v>
      </c>
      <c r="G157" s="132">
        <f t="shared" si="19"/>
        <v>0</v>
      </c>
    </row>
    <row r="158" spans="1:7" ht="12.75" hidden="1">
      <c r="A158" s="22">
        <f t="shared" si="20"/>
        <v>138</v>
      </c>
      <c r="B158" s="148">
        <f t="shared" si="21"/>
        <v>0</v>
      </c>
      <c r="C158" s="131">
        <f t="shared" si="15"/>
        <v>0</v>
      </c>
      <c r="D158" s="131">
        <f t="shared" si="16"/>
        <v>0</v>
      </c>
      <c r="E158" s="131">
        <f t="shared" si="17"/>
        <v>0</v>
      </c>
      <c r="F158" s="148">
        <f t="shared" si="18"/>
        <v>0</v>
      </c>
      <c r="G158" s="132">
        <f t="shared" si="19"/>
        <v>0</v>
      </c>
    </row>
    <row r="159" spans="1:7" ht="12.75" hidden="1">
      <c r="A159" s="22">
        <f t="shared" si="20"/>
        <v>139</v>
      </c>
      <c r="B159" s="148">
        <f t="shared" si="21"/>
        <v>0</v>
      </c>
      <c r="C159" s="131">
        <f t="shared" si="15"/>
        <v>0</v>
      </c>
      <c r="D159" s="131">
        <f t="shared" si="16"/>
        <v>0</v>
      </c>
      <c r="E159" s="131">
        <f t="shared" si="17"/>
        <v>0</v>
      </c>
      <c r="F159" s="148">
        <f t="shared" si="18"/>
        <v>0</v>
      </c>
      <c r="G159" s="132">
        <f t="shared" si="19"/>
        <v>0</v>
      </c>
    </row>
    <row r="160" spans="1:7" ht="12.75" hidden="1">
      <c r="A160" s="22">
        <f t="shared" si="20"/>
        <v>140</v>
      </c>
      <c r="B160" s="148">
        <f t="shared" si="21"/>
        <v>0</v>
      </c>
      <c r="C160" s="131">
        <f t="shared" si="15"/>
        <v>0</v>
      </c>
      <c r="D160" s="131">
        <f t="shared" si="16"/>
        <v>0</v>
      </c>
      <c r="E160" s="131">
        <f t="shared" si="17"/>
        <v>0</v>
      </c>
      <c r="F160" s="148">
        <f t="shared" si="18"/>
        <v>0</v>
      </c>
      <c r="G160" s="132">
        <f t="shared" si="19"/>
        <v>0</v>
      </c>
    </row>
    <row r="161" spans="1:7" ht="12.75" hidden="1">
      <c r="A161" s="22">
        <f t="shared" si="20"/>
        <v>141</v>
      </c>
      <c r="B161" s="148">
        <f t="shared" si="21"/>
        <v>0</v>
      </c>
      <c r="C161" s="131">
        <f t="shared" si="15"/>
        <v>0</v>
      </c>
      <c r="D161" s="131">
        <f t="shared" si="16"/>
        <v>0</v>
      </c>
      <c r="E161" s="131">
        <f t="shared" si="17"/>
        <v>0</v>
      </c>
      <c r="F161" s="148">
        <f t="shared" si="18"/>
        <v>0</v>
      </c>
      <c r="G161" s="132">
        <f t="shared" si="19"/>
        <v>0</v>
      </c>
    </row>
    <row r="162" spans="1:7" ht="12.75" hidden="1">
      <c r="A162" s="22">
        <f t="shared" si="20"/>
        <v>142</v>
      </c>
      <c r="B162" s="148">
        <f t="shared" si="21"/>
        <v>0</v>
      </c>
      <c r="C162" s="131">
        <f t="shared" si="15"/>
        <v>0</v>
      </c>
      <c r="D162" s="131">
        <f t="shared" si="16"/>
        <v>0</v>
      </c>
      <c r="E162" s="131">
        <f t="shared" si="17"/>
        <v>0</v>
      </c>
      <c r="F162" s="148">
        <f t="shared" si="18"/>
        <v>0</v>
      </c>
      <c r="G162" s="132">
        <f t="shared" si="19"/>
        <v>0</v>
      </c>
    </row>
    <row r="163" spans="1:7" ht="12.75" hidden="1">
      <c r="A163" s="22">
        <f t="shared" si="20"/>
        <v>143</v>
      </c>
      <c r="B163" s="148">
        <f t="shared" si="21"/>
        <v>0</v>
      </c>
      <c r="C163" s="131">
        <f t="shared" si="15"/>
        <v>0</v>
      </c>
      <c r="D163" s="131">
        <f t="shared" si="16"/>
        <v>0</v>
      </c>
      <c r="E163" s="131">
        <f t="shared" si="17"/>
        <v>0</v>
      </c>
      <c r="F163" s="148">
        <f t="shared" si="18"/>
        <v>0</v>
      </c>
      <c r="G163" s="132">
        <f t="shared" si="19"/>
        <v>0</v>
      </c>
    </row>
    <row r="164" spans="1:7" ht="12.75" hidden="1">
      <c r="A164" s="22">
        <f t="shared" si="20"/>
        <v>144</v>
      </c>
      <c r="B164" s="148">
        <f t="shared" si="21"/>
        <v>0</v>
      </c>
      <c r="C164" s="131">
        <f t="shared" si="15"/>
        <v>0</v>
      </c>
      <c r="D164" s="131">
        <f t="shared" si="16"/>
        <v>0</v>
      </c>
      <c r="E164" s="131">
        <f t="shared" si="17"/>
        <v>0</v>
      </c>
      <c r="F164" s="148">
        <f t="shared" si="18"/>
        <v>0</v>
      </c>
      <c r="G164" s="132">
        <f t="shared" si="19"/>
        <v>0</v>
      </c>
    </row>
    <row r="165" spans="1:7" ht="12.75" hidden="1">
      <c r="A165" s="22">
        <f t="shared" si="20"/>
        <v>145</v>
      </c>
      <c r="B165" s="148">
        <f t="shared" si="21"/>
        <v>0</v>
      </c>
      <c r="C165" s="131">
        <f t="shared" si="15"/>
        <v>0</v>
      </c>
      <c r="D165" s="131">
        <f t="shared" si="16"/>
        <v>0</v>
      </c>
      <c r="E165" s="131">
        <f t="shared" si="17"/>
        <v>0</v>
      </c>
      <c r="F165" s="148">
        <f t="shared" si="18"/>
        <v>0</v>
      </c>
      <c r="G165" s="132">
        <f t="shared" si="19"/>
        <v>0</v>
      </c>
    </row>
    <row r="166" spans="1:7" ht="12.75" hidden="1">
      <c r="A166" s="22">
        <f t="shared" si="20"/>
        <v>146</v>
      </c>
      <c r="B166" s="148">
        <f t="shared" si="21"/>
        <v>0</v>
      </c>
      <c r="C166" s="131">
        <f t="shared" si="15"/>
        <v>0</v>
      </c>
      <c r="D166" s="131">
        <f t="shared" si="16"/>
        <v>0</v>
      </c>
      <c r="E166" s="131">
        <f t="shared" si="17"/>
        <v>0</v>
      </c>
      <c r="F166" s="148">
        <f t="shared" si="18"/>
        <v>0</v>
      </c>
      <c r="G166" s="132">
        <f t="shared" si="19"/>
        <v>0</v>
      </c>
    </row>
    <row r="167" spans="1:7" ht="12.75" hidden="1">
      <c r="A167" s="22">
        <f t="shared" si="20"/>
        <v>147</v>
      </c>
      <c r="B167" s="148">
        <f t="shared" si="21"/>
        <v>0</v>
      </c>
      <c r="C167" s="131">
        <f t="shared" si="15"/>
        <v>0</v>
      </c>
      <c r="D167" s="131">
        <f t="shared" si="16"/>
        <v>0</v>
      </c>
      <c r="E167" s="131">
        <f t="shared" si="17"/>
        <v>0</v>
      </c>
      <c r="F167" s="148">
        <f t="shared" si="18"/>
        <v>0</v>
      </c>
      <c r="G167" s="132">
        <f t="shared" si="19"/>
        <v>0</v>
      </c>
    </row>
    <row r="168" spans="1:7" ht="12.75" hidden="1">
      <c r="A168" s="22">
        <f t="shared" si="20"/>
        <v>148</v>
      </c>
      <c r="B168" s="148">
        <f t="shared" si="21"/>
        <v>0</v>
      </c>
      <c r="C168" s="131">
        <f t="shared" si="15"/>
        <v>0</v>
      </c>
      <c r="D168" s="131">
        <f t="shared" si="16"/>
        <v>0</v>
      </c>
      <c r="E168" s="131">
        <f t="shared" si="17"/>
        <v>0</v>
      </c>
      <c r="F168" s="148">
        <f t="shared" si="18"/>
        <v>0</v>
      </c>
      <c r="G168" s="132">
        <f t="shared" si="19"/>
        <v>0</v>
      </c>
    </row>
    <row r="169" spans="1:7" ht="12.75" hidden="1">
      <c r="A169" s="22">
        <f t="shared" si="20"/>
        <v>149</v>
      </c>
      <c r="B169" s="148">
        <f t="shared" si="21"/>
        <v>0</v>
      </c>
      <c r="C169" s="131">
        <f t="shared" si="15"/>
        <v>0</v>
      </c>
      <c r="D169" s="131">
        <f t="shared" si="16"/>
        <v>0</v>
      </c>
      <c r="E169" s="131">
        <f t="shared" si="17"/>
        <v>0</v>
      </c>
      <c r="F169" s="148">
        <f t="shared" si="18"/>
        <v>0</v>
      </c>
      <c r="G169" s="132">
        <f t="shared" si="19"/>
        <v>0</v>
      </c>
    </row>
    <row r="170" spans="1:7" ht="12.75" hidden="1">
      <c r="A170" s="22">
        <f t="shared" si="20"/>
        <v>150</v>
      </c>
      <c r="B170" s="148">
        <f t="shared" si="21"/>
        <v>0</v>
      </c>
      <c r="C170" s="131">
        <f t="shared" si="15"/>
        <v>0</v>
      </c>
      <c r="D170" s="131">
        <f t="shared" si="16"/>
        <v>0</v>
      </c>
      <c r="E170" s="131">
        <f t="shared" si="17"/>
        <v>0</v>
      </c>
      <c r="F170" s="148">
        <f t="shared" si="18"/>
        <v>0</v>
      </c>
      <c r="G170" s="132">
        <f t="shared" si="19"/>
        <v>0</v>
      </c>
    </row>
    <row r="171" spans="1:7" ht="12.75" hidden="1">
      <c r="A171" s="22">
        <f t="shared" si="20"/>
        <v>151</v>
      </c>
      <c r="B171" s="148">
        <f t="shared" si="21"/>
        <v>0</v>
      </c>
      <c r="C171" s="131">
        <f t="shared" si="15"/>
        <v>0</v>
      </c>
      <c r="D171" s="131">
        <f t="shared" si="16"/>
        <v>0</v>
      </c>
      <c r="E171" s="131">
        <f t="shared" si="17"/>
        <v>0</v>
      </c>
      <c r="F171" s="148">
        <f t="shared" si="18"/>
        <v>0</v>
      </c>
      <c r="G171" s="132">
        <f t="shared" si="19"/>
        <v>0</v>
      </c>
    </row>
    <row r="172" spans="1:7" ht="12.75" hidden="1">
      <c r="A172" s="22">
        <f t="shared" si="20"/>
        <v>152</v>
      </c>
      <c r="B172" s="148">
        <f t="shared" si="21"/>
        <v>0</v>
      </c>
      <c r="C172" s="131">
        <f t="shared" si="15"/>
        <v>0</v>
      </c>
      <c r="D172" s="131">
        <f t="shared" si="16"/>
        <v>0</v>
      </c>
      <c r="E172" s="131">
        <f t="shared" si="17"/>
        <v>0</v>
      </c>
      <c r="F172" s="148">
        <f t="shared" si="18"/>
        <v>0</v>
      </c>
      <c r="G172" s="132">
        <f t="shared" si="19"/>
        <v>0</v>
      </c>
    </row>
    <row r="173" spans="1:7" ht="12.75" hidden="1">
      <c r="A173" s="22">
        <f t="shared" si="20"/>
        <v>153</v>
      </c>
      <c r="B173" s="148">
        <f t="shared" si="21"/>
        <v>0</v>
      </c>
      <c r="C173" s="131">
        <f t="shared" si="15"/>
        <v>0</v>
      </c>
      <c r="D173" s="131">
        <f t="shared" si="16"/>
        <v>0</v>
      </c>
      <c r="E173" s="131">
        <f t="shared" si="17"/>
        <v>0</v>
      </c>
      <c r="F173" s="148">
        <f t="shared" si="18"/>
        <v>0</v>
      </c>
      <c r="G173" s="132">
        <f t="shared" si="19"/>
        <v>0</v>
      </c>
    </row>
    <row r="174" spans="1:7" ht="12.75" hidden="1">
      <c r="A174" s="22">
        <f t="shared" si="20"/>
        <v>154</v>
      </c>
      <c r="B174" s="148">
        <f t="shared" si="21"/>
        <v>0</v>
      </c>
      <c r="C174" s="131">
        <f t="shared" si="15"/>
        <v>0</v>
      </c>
      <c r="D174" s="131">
        <f t="shared" si="16"/>
        <v>0</v>
      </c>
      <c r="E174" s="131">
        <f t="shared" si="17"/>
        <v>0</v>
      </c>
      <c r="F174" s="148">
        <f t="shared" si="18"/>
        <v>0</v>
      </c>
      <c r="G174" s="132">
        <f t="shared" si="19"/>
        <v>0</v>
      </c>
    </row>
    <row r="175" spans="1:7" ht="12.75" hidden="1">
      <c r="A175" s="22">
        <f t="shared" si="20"/>
        <v>155</v>
      </c>
      <c r="B175" s="148">
        <f t="shared" si="21"/>
        <v>0</v>
      </c>
      <c r="C175" s="131">
        <f t="shared" si="15"/>
        <v>0</v>
      </c>
      <c r="D175" s="131">
        <f t="shared" si="16"/>
        <v>0</v>
      </c>
      <c r="E175" s="131">
        <f t="shared" si="17"/>
        <v>0</v>
      </c>
      <c r="F175" s="148">
        <f t="shared" si="18"/>
        <v>0</v>
      </c>
      <c r="G175" s="132">
        <f t="shared" si="19"/>
        <v>0</v>
      </c>
    </row>
    <row r="176" spans="1:7" ht="12.75" hidden="1">
      <c r="A176" s="22">
        <f t="shared" si="20"/>
        <v>156</v>
      </c>
      <c r="B176" s="148">
        <f t="shared" si="21"/>
        <v>0</v>
      </c>
      <c r="C176" s="131">
        <f t="shared" si="15"/>
        <v>0</v>
      </c>
      <c r="D176" s="131">
        <f t="shared" si="16"/>
        <v>0</v>
      </c>
      <c r="E176" s="131">
        <f t="shared" si="17"/>
        <v>0</v>
      </c>
      <c r="F176" s="148">
        <f t="shared" si="18"/>
        <v>0</v>
      </c>
      <c r="G176" s="132">
        <f t="shared" si="19"/>
        <v>0</v>
      </c>
    </row>
    <row r="177" spans="1:7" ht="12.75" hidden="1">
      <c r="A177" s="22">
        <f t="shared" si="20"/>
        <v>157</v>
      </c>
      <c r="B177" s="148">
        <f t="shared" si="21"/>
        <v>0</v>
      </c>
      <c r="C177" s="131">
        <f t="shared" si="15"/>
        <v>0</v>
      </c>
      <c r="D177" s="131">
        <f t="shared" si="16"/>
        <v>0</v>
      </c>
      <c r="E177" s="131">
        <f t="shared" si="17"/>
        <v>0</v>
      </c>
      <c r="F177" s="148">
        <f t="shared" si="18"/>
        <v>0</v>
      </c>
      <c r="G177" s="132">
        <f t="shared" si="19"/>
        <v>0</v>
      </c>
    </row>
    <row r="178" spans="1:7" ht="12.75" hidden="1">
      <c r="A178" s="22">
        <f t="shared" si="20"/>
        <v>158</v>
      </c>
      <c r="B178" s="148">
        <f t="shared" si="21"/>
        <v>0</v>
      </c>
      <c r="C178" s="131">
        <f t="shared" si="15"/>
        <v>0</v>
      </c>
      <c r="D178" s="131">
        <f t="shared" si="16"/>
        <v>0</v>
      </c>
      <c r="E178" s="131">
        <f t="shared" si="17"/>
        <v>0</v>
      </c>
      <c r="F178" s="148">
        <f t="shared" si="18"/>
        <v>0</v>
      </c>
      <c r="G178" s="132">
        <f t="shared" si="19"/>
        <v>0</v>
      </c>
    </row>
    <row r="179" spans="1:7" ht="12.75" hidden="1">
      <c r="A179" s="22">
        <f t="shared" si="20"/>
        <v>159</v>
      </c>
      <c r="B179" s="148">
        <f t="shared" si="21"/>
        <v>0</v>
      </c>
      <c r="C179" s="131">
        <f t="shared" si="15"/>
        <v>0</v>
      </c>
      <c r="D179" s="131">
        <f t="shared" si="16"/>
        <v>0</v>
      </c>
      <c r="E179" s="131">
        <f t="shared" si="17"/>
        <v>0</v>
      </c>
      <c r="F179" s="148">
        <f t="shared" si="18"/>
        <v>0</v>
      </c>
      <c r="G179" s="132">
        <f t="shared" si="19"/>
        <v>0</v>
      </c>
    </row>
    <row r="180" spans="1:7" ht="12.75" hidden="1">
      <c r="A180" s="22">
        <f t="shared" si="20"/>
        <v>160</v>
      </c>
      <c r="B180" s="148">
        <f t="shared" si="21"/>
        <v>0</v>
      </c>
      <c r="C180" s="131">
        <f t="shared" si="15"/>
        <v>0</v>
      </c>
      <c r="D180" s="131">
        <f t="shared" si="16"/>
        <v>0</v>
      </c>
      <c r="E180" s="131">
        <f t="shared" si="17"/>
        <v>0</v>
      </c>
      <c r="F180" s="148">
        <f t="shared" si="18"/>
        <v>0</v>
      </c>
      <c r="G180" s="132">
        <f t="shared" si="19"/>
        <v>0</v>
      </c>
    </row>
    <row r="181" spans="1:7" ht="12.75" hidden="1">
      <c r="A181" s="22">
        <f t="shared" si="20"/>
        <v>161</v>
      </c>
      <c r="B181" s="148">
        <f t="shared" si="21"/>
        <v>0</v>
      </c>
      <c r="C181" s="131">
        <f t="shared" si="15"/>
        <v>0</v>
      </c>
      <c r="D181" s="131">
        <f t="shared" si="16"/>
        <v>0</v>
      </c>
      <c r="E181" s="131">
        <f t="shared" si="17"/>
        <v>0</v>
      </c>
      <c r="F181" s="148">
        <f t="shared" si="18"/>
        <v>0</v>
      </c>
      <c r="G181" s="132">
        <f t="shared" si="19"/>
        <v>0</v>
      </c>
    </row>
    <row r="182" spans="1:7" ht="12.75" hidden="1">
      <c r="A182" s="22">
        <f t="shared" si="20"/>
        <v>162</v>
      </c>
      <c r="B182" s="148">
        <f t="shared" si="21"/>
        <v>0</v>
      </c>
      <c r="C182" s="131">
        <f t="shared" si="15"/>
        <v>0</v>
      </c>
      <c r="D182" s="131">
        <f t="shared" si="16"/>
        <v>0</v>
      </c>
      <c r="E182" s="131">
        <f t="shared" si="17"/>
        <v>0</v>
      </c>
      <c r="F182" s="148">
        <f t="shared" si="18"/>
        <v>0</v>
      </c>
      <c r="G182" s="132">
        <f t="shared" si="19"/>
        <v>0</v>
      </c>
    </row>
    <row r="183" spans="1:7" ht="12.75" hidden="1">
      <c r="A183" s="22">
        <f t="shared" si="20"/>
        <v>163</v>
      </c>
      <c r="B183" s="148">
        <f t="shared" si="21"/>
        <v>0</v>
      </c>
      <c r="C183" s="131">
        <f t="shared" si="15"/>
        <v>0</v>
      </c>
      <c r="D183" s="131">
        <f t="shared" si="16"/>
        <v>0</v>
      </c>
      <c r="E183" s="131">
        <f t="shared" si="17"/>
        <v>0</v>
      </c>
      <c r="F183" s="148">
        <f t="shared" si="18"/>
        <v>0</v>
      </c>
      <c r="G183" s="132">
        <f t="shared" si="19"/>
        <v>0</v>
      </c>
    </row>
    <row r="184" spans="1:7" ht="12.75" hidden="1">
      <c r="A184" s="22">
        <f t="shared" si="20"/>
        <v>164</v>
      </c>
      <c r="B184" s="148">
        <f t="shared" si="21"/>
        <v>0</v>
      </c>
      <c r="C184" s="131">
        <f t="shared" si="15"/>
        <v>0</v>
      </c>
      <c r="D184" s="131">
        <f t="shared" si="16"/>
        <v>0</v>
      </c>
      <c r="E184" s="131">
        <f t="shared" si="17"/>
        <v>0</v>
      </c>
      <c r="F184" s="148">
        <f t="shared" si="18"/>
        <v>0</v>
      </c>
      <c r="G184" s="132">
        <f t="shared" si="19"/>
        <v>0</v>
      </c>
    </row>
    <row r="185" spans="1:7" ht="12.75" hidden="1">
      <c r="A185" s="22">
        <f t="shared" si="20"/>
        <v>165</v>
      </c>
      <c r="B185" s="148">
        <f t="shared" si="21"/>
        <v>0</v>
      </c>
      <c r="C185" s="131">
        <f t="shared" si="15"/>
        <v>0</v>
      </c>
      <c r="D185" s="131">
        <f t="shared" si="16"/>
        <v>0</v>
      </c>
      <c r="E185" s="131">
        <f t="shared" si="17"/>
        <v>0</v>
      </c>
      <c r="F185" s="148">
        <f t="shared" si="18"/>
        <v>0</v>
      </c>
      <c r="G185" s="132">
        <f t="shared" si="19"/>
        <v>0</v>
      </c>
    </row>
    <row r="186" spans="1:7" ht="12.75" hidden="1">
      <c r="A186" s="22">
        <f t="shared" si="20"/>
        <v>166</v>
      </c>
      <c r="B186" s="148">
        <f t="shared" si="21"/>
        <v>0</v>
      </c>
      <c r="C186" s="131">
        <f t="shared" si="15"/>
        <v>0</v>
      </c>
      <c r="D186" s="131">
        <f t="shared" si="16"/>
        <v>0</v>
      </c>
      <c r="E186" s="131">
        <f t="shared" si="17"/>
        <v>0</v>
      </c>
      <c r="F186" s="148">
        <f t="shared" si="18"/>
        <v>0</v>
      </c>
      <c r="G186" s="132">
        <f t="shared" si="19"/>
        <v>0</v>
      </c>
    </row>
    <row r="187" spans="1:7" ht="12.75" hidden="1">
      <c r="A187" s="22">
        <f t="shared" si="20"/>
        <v>167</v>
      </c>
      <c r="B187" s="148">
        <f t="shared" si="21"/>
        <v>0</v>
      </c>
      <c r="C187" s="131">
        <f t="shared" si="15"/>
        <v>0</v>
      </c>
      <c r="D187" s="131">
        <f t="shared" si="16"/>
        <v>0</v>
      </c>
      <c r="E187" s="131">
        <f t="shared" si="17"/>
        <v>0</v>
      </c>
      <c r="F187" s="148">
        <f t="shared" si="18"/>
        <v>0</v>
      </c>
      <c r="G187" s="132">
        <f t="shared" si="19"/>
        <v>0</v>
      </c>
    </row>
    <row r="188" spans="1:7" ht="12.75" hidden="1">
      <c r="A188" s="22">
        <f t="shared" si="20"/>
        <v>168</v>
      </c>
      <c r="B188" s="148">
        <f t="shared" si="21"/>
        <v>0</v>
      </c>
      <c r="C188" s="131">
        <f t="shared" si="15"/>
        <v>0</v>
      </c>
      <c r="D188" s="131">
        <f t="shared" si="16"/>
        <v>0</v>
      </c>
      <c r="E188" s="131">
        <f t="shared" si="17"/>
        <v>0</v>
      </c>
      <c r="F188" s="148">
        <f t="shared" si="18"/>
        <v>0</v>
      </c>
      <c r="G188" s="132">
        <f t="shared" si="19"/>
        <v>0</v>
      </c>
    </row>
    <row r="189" spans="1:7" ht="12.75" hidden="1">
      <c r="A189" s="22">
        <f t="shared" si="20"/>
        <v>169</v>
      </c>
      <c r="B189" s="148">
        <f t="shared" si="21"/>
        <v>0</v>
      </c>
      <c r="C189" s="131">
        <f t="shared" si="15"/>
        <v>0</v>
      </c>
      <c r="D189" s="131">
        <f t="shared" si="16"/>
        <v>0</v>
      </c>
      <c r="E189" s="131">
        <f t="shared" si="17"/>
        <v>0</v>
      </c>
      <c r="F189" s="148">
        <f t="shared" si="18"/>
        <v>0</v>
      </c>
      <c r="G189" s="132">
        <f t="shared" si="19"/>
        <v>0</v>
      </c>
    </row>
    <row r="190" spans="1:7" ht="12.75" hidden="1">
      <c r="A190" s="22">
        <f t="shared" si="20"/>
        <v>170</v>
      </c>
      <c r="B190" s="148">
        <f t="shared" si="21"/>
        <v>0</v>
      </c>
      <c r="C190" s="131">
        <f t="shared" si="15"/>
        <v>0</v>
      </c>
      <c r="D190" s="131">
        <f t="shared" si="16"/>
        <v>0</v>
      </c>
      <c r="E190" s="131">
        <f t="shared" si="17"/>
        <v>0</v>
      </c>
      <c r="F190" s="148">
        <f t="shared" si="18"/>
        <v>0</v>
      </c>
      <c r="G190" s="132">
        <f t="shared" si="19"/>
        <v>0</v>
      </c>
    </row>
    <row r="191" spans="1:7" ht="12.75" hidden="1">
      <c r="A191" s="22">
        <f t="shared" si="20"/>
        <v>171</v>
      </c>
      <c r="B191" s="148">
        <f t="shared" si="21"/>
        <v>0</v>
      </c>
      <c r="C191" s="131">
        <f t="shared" si="15"/>
        <v>0</v>
      </c>
      <c r="D191" s="131">
        <f t="shared" si="16"/>
        <v>0</v>
      </c>
      <c r="E191" s="131">
        <f t="shared" si="17"/>
        <v>0</v>
      </c>
      <c r="F191" s="148">
        <f t="shared" si="18"/>
        <v>0</v>
      </c>
      <c r="G191" s="132">
        <f t="shared" si="19"/>
        <v>0</v>
      </c>
    </row>
    <row r="192" spans="1:7" ht="12.75" hidden="1">
      <c r="A192" s="22">
        <f t="shared" si="20"/>
        <v>172</v>
      </c>
      <c r="B192" s="148">
        <f t="shared" si="21"/>
        <v>0</v>
      </c>
      <c r="C192" s="131">
        <f t="shared" si="15"/>
        <v>0</v>
      </c>
      <c r="D192" s="131">
        <f t="shared" si="16"/>
        <v>0</v>
      </c>
      <c r="E192" s="131">
        <f t="shared" si="17"/>
        <v>0</v>
      </c>
      <c r="F192" s="148">
        <f t="shared" si="18"/>
        <v>0</v>
      </c>
      <c r="G192" s="132">
        <f t="shared" si="19"/>
        <v>0</v>
      </c>
    </row>
    <row r="193" spans="1:7" ht="12.75" hidden="1">
      <c r="A193" s="22">
        <f t="shared" si="20"/>
        <v>173</v>
      </c>
      <c r="B193" s="148">
        <f t="shared" si="21"/>
        <v>0</v>
      </c>
      <c r="C193" s="131">
        <f t="shared" si="15"/>
        <v>0</v>
      </c>
      <c r="D193" s="131">
        <f t="shared" si="16"/>
        <v>0</v>
      </c>
      <c r="E193" s="131">
        <f t="shared" si="17"/>
        <v>0</v>
      </c>
      <c r="F193" s="148">
        <f t="shared" si="18"/>
        <v>0</v>
      </c>
      <c r="G193" s="132">
        <f t="shared" si="19"/>
        <v>0</v>
      </c>
    </row>
    <row r="194" spans="1:7" ht="12.75" hidden="1">
      <c r="A194" s="22">
        <f t="shared" si="20"/>
        <v>174</v>
      </c>
      <c r="B194" s="148">
        <f t="shared" si="21"/>
        <v>0</v>
      </c>
      <c r="C194" s="131">
        <f t="shared" si="15"/>
        <v>0</v>
      </c>
      <c r="D194" s="131">
        <f t="shared" si="16"/>
        <v>0</v>
      </c>
      <c r="E194" s="131">
        <f t="shared" si="17"/>
        <v>0</v>
      </c>
      <c r="F194" s="148">
        <f t="shared" si="18"/>
        <v>0</v>
      </c>
      <c r="G194" s="132">
        <f t="shared" si="19"/>
        <v>0</v>
      </c>
    </row>
    <row r="195" spans="1:7" ht="12.75" hidden="1">
      <c r="A195" s="22">
        <f t="shared" si="20"/>
        <v>175</v>
      </c>
      <c r="B195" s="148">
        <f t="shared" si="21"/>
        <v>0</v>
      </c>
      <c r="C195" s="131">
        <f t="shared" si="15"/>
        <v>0</v>
      </c>
      <c r="D195" s="131">
        <f t="shared" si="16"/>
        <v>0</v>
      </c>
      <c r="E195" s="131">
        <f t="shared" si="17"/>
        <v>0</v>
      </c>
      <c r="F195" s="148">
        <f t="shared" si="18"/>
        <v>0</v>
      </c>
      <c r="G195" s="132">
        <f t="shared" si="19"/>
        <v>0</v>
      </c>
    </row>
    <row r="196" spans="1:7" ht="12.75" hidden="1">
      <c r="A196" s="22">
        <f t="shared" si="20"/>
        <v>176</v>
      </c>
      <c r="B196" s="148">
        <f t="shared" si="21"/>
        <v>0</v>
      </c>
      <c r="C196" s="131">
        <f t="shared" si="15"/>
        <v>0</v>
      </c>
      <c r="D196" s="131">
        <f t="shared" si="16"/>
        <v>0</v>
      </c>
      <c r="E196" s="131">
        <f t="shared" si="17"/>
        <v>0</v>
      </c>
      <c r="F196" s="148">
        <f t="shared" si="18"/>
        <v>0</v>
      </c>
      <c r="G196" s="132">
        <f t="shared" si="19"/>
        <v>0</v>
      </c>
    </row>
    <row r="197" spans="1:7" ht="12.75" hidden="1">
      <c r="A197" s="22">
        <f t="shared" si="20"/>
        <v>177</v>
      </c>
      <c r="B197" s="148">
        <f t="shared" si="21"/>
        <v>0</v>
      </c>
      <c r="C197" s="131">
        <f t="shared" si="15"/>
        <v>0</v>
      </c>
      <c r="D197" s="131">
        <f t="shared" si="16"/>
        <v>0</v>
      </c>
      <c r="E197" s="131">
        <f t="shared" si="17"/>
        <v>0</v>
      </c>
      <c r="F197" s="148">
        <f t="shared" si="18"/>
        <v>0</v>
      </c>
      <c r="G197" s="132">
        <f t="shared" si="19"/>
        <v>0</v>
      </c>
    </row>
    <row r="198" spans="1:7" ht="12.75" hidden="1">
      <c r="A198" s="22">
        <f t="shared" si="20"/>
        <v>178</v>
      </c>
      <c r="B198" s="148">
        <f t="shared" si="21"/>
        <v>0</v>
      </c>
      <c r="C198" s="131">
        <f t="shared" si="15"/>
        <v>0</v>
      </c>
      <c r="D198" s="131">
        <f t="shared" si="16"/>
        <v>0</v>
      </c>
      <c r="E198" s="131">
        <f t="shared" si="17"/>
        <v>0</v>
      </c>
      <c r="F198" s="148">
        <f t="shared" si="18"/>
        <v>0</v>
      </c>
      <c r="G198" s="132">
        <f t="shared" si="19"/>
        <v>0</v>
      </c>
    </row>
    <row r="199" spans="1:7" ht="12.75" hidden="1">
      <c r="A199" s="22">
        <f t="shared" si="20"/>
        <v>179</v>
      </c>
      <c r="B199" s="148">
        <f t="shared" si="21"/>
        <v>0</v>
      </c>
      <c r="C199" s="131">
        <f t="shared" si="15"/>
        <v>0</v>
      </c>
      <c r="D199" s="131">
        <f t="shared" si="16"/>
        <v>0</v>
      </c>
      <c r="E199" s="131">
        <f t="shared" si="17"/>
        <v>0</v>
      </c>
      <c r="F199" s="148">
        <f t="shared" si="18"/>
        <v>0</v>
      </c>
      <c r="G199" s="132">
        <f t="shared" si="19"/>
        <v>0</v>
      </c>
    </row>
    <row r="200" spans="1:7" ht="12.75" hidden="1">
      <c r="A200" s="22">
        <f t="shared" si="20"/>
        <v>180</v>
      </c>
      <c r="B200" s="148">
        <f t="shared" si="21"/>
        <v>0</v>
      </c>
      <c r="C200" s="131">
        <f t="shared" si="15"/>
        <v>0</v>
      </c>
      <c r="D200" s="131">
        <f t="shared" si="16"/>
        <v>0</v>
      </c>
      <c r="E200" s="131">
        <f t="shared" si="17"/>
        <v>0</v>
      </c>
      <c r="F200" s="148">
        <f t="shared" si="18"/>
        <v>0</v>
      </c>
      <c r="G200" s="132">
        <f t="shared" si="19"/>
        <v>0</v>
      </c>
    </row>
    <row r="201" spans="1:7" ht="12.75" hidden="1">
      <c r="A201" s="22">
        <f t="shared" si="20"/>
        <v>181</v>
      </c>
      <c r="B201" s="148">
        <f t="shared" si="21"/>
        <v>0</v>
      </c>
      <c r="C201" s="131">
        <f t="shared" si="15"/>
        <v>0</v>
      </c>
      <c r="D201" s="131">
        <f t="shared" si="16"/>
        <v>0</v>
      </c>
      <c r="E201" s="131">
        <f t="shared" si="17"/>
        <v>0</v>
      </c>
      <c r="F201" s="148">
        <f t="shared" si="18"/>
        <v>0</v>
      </c>
      <c r="G201" s="132">
        <f t="shared" si="19"/>
        <v>0</v>
      </c>
    </row>
    <row r="202" spans="1:7" ht="12.75" hidden="1">
      <c r="A202" s="22">
        <f t="shared" si="20"/>
        <v>182</v>
      </c>
      <c r="B202" s="148">
        <f t="shared" si="21"/>
        <v>0</v>
      </c>
      <c r="C202" s="131">
        <f t="shared" si="15"/>
        <v>0</v>
      </c>
      <c r="D202" s="131">
        <f t="shared" si="16"/>
        <v>0</v>
      </c>
      <c r="E202" s="131">
        <f t="shared" si="17"/>
        <v>0</v>
      </c>
      <c r="F202" s="148">
        <f t="shared" si="18"/>
        <v>0</v>
      </c>
      <c r="G202" s="132">
        <f t="shared" si="19"/>
        <v>0</v>
      </c>
    </row>
    <row r="203" spans="1:7" ht="12.75" hidden="1">
      <c r="A203" s="22">
        <f t="shared" si="20"/>
        <v>183</v>
      </c>
      <c r="B203" s="148">
        <f t="shared" si="21"/>
        <v>0</v>
      </c>
      <c r="C203" s="131">
        <f t="shared" si="15"/>
        <v>0</v>
      </c>
      <c r="D203" s="131">
        <f t="shared" si="16"/>
        <v>0</v>
      </c>
      <c r="E203" s="131">
        <f t="shared" si="17"/>
        <v>0</v>
      </c>
      <c r="F203" s="148">
        <f t="shared" si="18"/>
        <v>0</v>
      </c>
      <c r="G203" s="132">
        <f t="shared" si="19"/>
        <v>0</v>
      </c>
    </row>
    <row r="204" spans="1:7" ht="12.75" hidden="1">
      <c r="A204" s="22">
        <f t="shared" si="20"/>
        <v>184</v>
      </c>
      <c r="B204" s="148">
        <f t="shared" si="21"/>
        <v>0</v>
      </c>
      <c r="C204" s="131">
        <f t="shared" si="15"/>
        <v>0</v>
      </c>
      <c r="D204" s="131">
        <f t="shared" si="16"/>
        <v>0</v>
      </c>
      <c r="E204" s="131">
        <f t="shared" si="17"/>
        <v>0</v>
      </c>
      <c r="F204" s="148">
        <f t="shared" si="18"/>
        <v>0</v>
      </c>
      <c r="G204" s="132">
        <f t="shared" si="19"/>
        <v>0</v>
      </c>
    </row>
    <row r="205" spans="1:7" ht="12.75" hidden="1">
      <c r="A205" s="22">
        <f t="shared" si="20"/>
        <v>185</v>
      </c>
      <c r="B205" s="148">
        <f t="shared" si="21"/>
        <v>0</v>
      </c>
      <c r="C205" s="131">
        <f t="shared" si="15"/>
        <v>0</v>
      </c>
      <c r="D205" s="131">
        <f t="shared" si="16"/>
        <v>0</v>
      </c>
      <c r="E205" s="131">
        <f t="shared" si="17"/>
        <v>0</v>
      </c>
      <c r="F205" s="148">
        <f t="shared" si="18"/>
        <v>0</v>
      </c>
      <c r="G205" s="132">
        <f t="shared" si="19"/>
        <v>0</v>
      </c>
    </row>
    <row r="206" spans="1:7" ht="12.75" hidden="1">
      <c r="A206" s="22">
        <f t="shared" si="20"/>
        <v>186</v>
      </c>
      <c r="B206" s="148">
        <f t="shared" si="21"/>
        <v>0</v>
      </c>
      <c r="C206" s="131">
        <f t="shared" si="15"/>
        <v>0</v>
      </c>
      <c r="D206" s="131">
        <f t="shared" si="16"/>
        <v>0</v>
      </c>
      <c r="E206" s="131">
        <f t="shared" si="17"/>
        <v>0</v>
      </c>
      <c r="F206" s="148">
        <f t="shared" si="18"/>
        <v>0</v>
      </c>
      <c r="G206" s="132">
        <f t="shared" si="19"/>
        <v>0</v>
      </c>
    </row>
    <row r="207" spans="1:7" ht="12.75" hidden="1">
      <c r="A207" s="22">
        <f t="shared" si="20"/>
        <v>187</v>
      </c>
      <c r="B207" s="148">
        <f t="shared" si="21"/>
        <v>0</v>
      </c>
      <c r="C207" s="131">
        <f t="shared" si="15"/>
        <v>0</v>
      </c>
      <c r="D207" s="131">
        <f t="shared" si="16"/>
        <v>0</v>
      </c>
      <c r="E207" s="131">
        <f t="shared" si="17"/>
        <v>0</v>
      </c>
      <c r="F207" s="148">
        <f t="shared" si="18"/>
        <v>0</v>
      </c>
      <c r="G207" s="132">
        <f t="shared" si="19"/>
        <v>0</v>
      </c>
    </row>
    <row r="208" spans="1:7" ht="12.75" hidden="1">
      <c r="A208" s="22">
        <f t="shared" si="20"/>
        <v>188</v>
      </c>
      <c r="B208" s="148">
        <f t="shared" si="21"/>
        <v>0</v>
      </c>
      <c r="C208" s="131">
        <f t="shared" si="15"/>
        <v>0</v>
      </c>
      <c r="D208" s="131">
        <f t="shared" si="16"/>
        <v>0</v>
      </c>
      <c r="E208" s="131">
        <f t="shared" si="17"/>
        <v>0</v>
      </c>
      <c r="F208" s="148">
        <f t="shared" si="18"/>
        <v>0</v>
      </c>
      <c r="G208" s="132">
        <f t="shared" si="19"/>
        <v>0</v>
      </c>
    </row>
    <row r="209" spans="1:7" ht="12.75" hidden="1">
      <c r="A209" s="22">
        <f t="shared" si="20"/>
        <v>189</v>
      </c>
      <c r="B209" s="148">
        <f t="shared" si="21"/>
        <v>0</v>
      </c>
      <c r="C209" s="131">
        <f t="shared" si="15"/>
        <v>0</v>
      </c>
      <c r="D209" s="131">
        <f t="shared" si="16"/>
        <v>0</v>
      </c>
      <c r="E209" s="131">
        <f t="shared" si="17"/>
        <v>0</v>
      </c>
      <c r="F209" s="148">
        <f t="shared" si="18"/>
        <v>0</v>
      </c>
      <c r="G209" s="132">
        <f t="shared" si="19"/>
        <v>0</v>
      </c>
    </row>
    <row r="210" spans="1:7" ht="12.75" hidden="1">
      <c r="A210" s="22">
        <f t="shared" si="20"/>
        <v>190</v>
      </c>
      <c r="B210" s="148">
        <f t="shared" si="21"/>
        <v>0</v>
      </c>
      <c r="C210" s="131">
        <f t="shared" si="15"/>
        <v>0</v>
      </c>
      <c r="D210" s="131">
        <f t="shared" si="16"/>
        <v>0</v>
      </c>
      <c r="E210" s="131">
        <f t="shared" si="17"/>
        <v>0</v>
      </c>
      <c r="F210" s="148">
        <f t="shared" si="18"/>
        <v>0</v>
      </c>
      <c r="G210" s="132">
        <f t="shared" si="19"/>
        <v>0</v>
      </c>
    </row>
    <row r="211" spans="1:7" ht="12.75" hidden="1">
      <c r="A211" s="22">
        <f t="shared" si="20"/>
        <v>191</v>
      </c>
      <c r="B211" s="148">
        <f t="shared" si="21"/>
        <v>0</v>
      </c>
      <c r="C211" s="131">
        <f t="shared" si="15"/>
        <v>0</v>
      </c>
      <c r="D211" s="131">
        <f t="shared" si="16"/>
        <v>0</v>
      </c>
      <c r="E211" s="131">
        <f t="shared" si="17"/>
        <v>0</v>
      </c>
      <c r="F211" s="148">
        <f t="shared" si="18"/>
        <v>0</v>
      </c>
      <c r="G211" s="132">
        <f t="shared" si="19"/>
        <v>0</v>
      </c>
    </row>
    <row r="212" spans="1:7" ht="12.75" hidden="1">
      <c r="A212" s="22">
        <f t="shared" si="20"/>
        <v>192</v>
      </c>
      <c r="B212" s="148">
        <f t="shared" si="21"/>
        <v>0</v>
      </c>
      <c r="C212" s="131">
        <f t="shared" si="15"/>
        <v>0</v>
      </c>
      <c r="D212" s="131">
        <f t="shared" si="16"/>
        <v>0</v>
      </c>
      <c r="E212" s="131">
        <f t="shared" si="17"/>
        <v>0</v>
      </c>
      <c r="F212" s="148">
        <f t="shared" si="18"/>
        <v>0</v>
      </c>
      <c r="G212" s="132">
        <f t="shared" si="19"/>
        <v>0</v>
      </c>
    </row>
    <row r="213" spans="1:7" ht="12.75" hidden="1">
      <c r="A213" s="22">
        <f t="shared" si="20"/>
        <v>193</v>
      </c>
      <c r="B213" s="148">
        <f t="shared" si="21"/>
        <v>0</v>
      </c>
      <c r="C213" s="131">
        <f aca="true" t="shared" si="22" ref="C213:C276">IF(A213&lt;=$D$10,D213+$D$13,0)</f>
        <v>0</v>
      </c>
      <c r="D213" s="131">
        <f aca="true" t="shared" si="23" ref="D213:D276">E213+F213</f>
        <v>0</v>
      </c>
      <c r="E213" s="131">
        <f aca="true" t="shared" si="24" ref="E213:E276">B213*$D$11</f>
        <v>0</v>
      </c>
      <c r="F213" s="148">
        <f aca="true" t="shared" si="25" ref="F213:F276">IF(A213&lt;=$D$10,$D$12*-1,0)</f>
        <v>0</v>
      </c>
      <c r="G213" s="132">
        <f aca="true" t="shared" si="26" ref="G213:G276">B213-F213</f>
        <v>0</v>
      </c>
    </row>
    <row r="214" spans="1:7" ht="12.75" hidden="1">
      <c r="A214" s="22">
        <f aca="true" t="shared" si="27" ref="A214:A277">A213+1</f>
        <v>194</v>
      </c>
      <c r="B214" s="148">
        <f aca="true" t="shared" si="28" ref="B214:B277">B213-F213</f>
        <v>0</v>
      </c>
      <c r="C214" s="131">
        <f t="shared" si="22"/>
        <v>0</v>
      </c>
      <c r="D214" s="131">
        <f t="shared" si="23"/>
        <v>0</v>
      </c>
      <c r="E214" s="131">
        <f t="shared" si="24"/>
        <v>0</v>
      </c>
      <c r="F214" s="148">
        <f t="shared" si="25"/>
        <v>0</v>
      </c>
      <c r="G214" s="132">
        <f t="shared" si="26"/>
        <v>0</v>
      </c>
    </row>
    <row r="215" spans="1:7" ht="12.75" hidden="1">
      <c r="A215" s="22">
        <f t="shared" si="27"/>
        <v>195</v>
      </c>
      <c r="B215" s="148">
        <f t="shared" si="28"/>
        <v>0</v>
      </c>
      <c r="C215" s="131">
        <f t="shared" si="22"/>
        <v>0</v>
      </c>
      <c r="D215" s="131">
        <f t="shared" si="23"/>
        <v>0</v>
      </c>
      <c r="E215" s="131">
        <f t="shared" si="24"/>
        <v>0</v>
      </c>
      <c r="F215" s="148">
        <f t="shared" si="25"/>
        <v>0</v>
      </c>
      <c r="G215" s="132">
        <f t="shared" si="26"/>
        <v>0</v>
      </c>
    </row>
    <row r="216" spans="1:7" ht="12.75" hidden="1">
      <c r="A216" s="22">
        <f t="shared" si="27"/>
        <v>196</v>
      </c>
      <c r="B216" s="148">
        <f t="shared" si="28"/>
        <v>0</v>
      </c>
      <c r="C216" s="131">
        <f t="shared" si="22"/>
        <v>0</v>
      </c>
      <c r="D216" s="131">
        <f t="shared" si="23"/>
        <v>0</v>
      </c>
      <c r="E216" s="131">
        <f t="shared" si="24"/>
        <v>0</v>
      </c>
      <c r="F216" s="148">
        <f t="shared" si="25"/>
        <v>0</v>
      </c>
      <c r="G216" s="132">
        <f t="shared" si="26"/>
        <v>0</v>
      </c>
    </row>
    <row r="217" spans="1:7" ht="12.75" hidden="1">
      <c r="A217" s="22">
        <f t="shared" si="27"/>
        <v>197</v>
      </c>
      <c r="B217" s="148">
        <f t="shared" si="28"/>
        <v>0</v>
      </c>
      <c r="C217" s="131">
        <f t="shared" si="22"/>
        <v>0</v>
      </c>
      <c r="D217" s="131">
        <f t="shared" si="23"/>
        <v>0</v>
      </c>
      <c r="E217" s="131">
        <f t="shared" si="24"/>
        <v>0</v>
      </c>
      <c r="F217" s="148">
        <f t="shared" si="25"/>
        <v>0</v>
      </c>
      <c r="G217" s="132">
        <f t="shared" si="26"/>
        <v>0</v>
      </c>
    </row>
    <row r="218" spans="1:7" ht="12.75" hidden="1">
      <c r="A218" s="22">
        <f t="shared" si="27"/>
        <v>198</v>
      </c>
      <c r="B218" s="148">
        <f t="shared" si="28"/>
        <v>0</v>
      </c>
      <c r="C218" s="131">
        <f t="shared" si="22"/>
        <v>0</v>
      </c>
      <c r="D218" s="131">
        <f t="shared" si="23"/>
        <v>0</v>
      </c>
      <c r="E218" s="131">
        <f t="shared" si="24"/>
        <v>0</v>
      </c>
      <c r="F218" s="148">
        <f t="shared" si="25"/>
        <v>0</v>
      </c>
      <c r="G218" s="132">
        <f t="shared" si="26"/>
        <v>0</v>
      </c>
    </row>
    <row r="219" spans="1:7" ht="12.75" hidden="1">
      <c r="A219" s="22">
        <f t="shared" si="27"/>
        <v>199</v>
      </c>
      <c r="B219" s="148">
        <f t="shared" si="28"/>
        <v>0</v>
      </c>
      <c r="C219" s="131">
        <f t="shared" si="22"/>
        <v>0</v>
      </c>
      <c r="D219" s="131">
        <f t="shared" si="23"/>
        <v>0</v>
      </c>
      <c r="E219" s="131">
        <f t="shared" si="24"/>
        <v>0</v>
      </c>
      <c r="F219" s="148">
        <f t="shared" si="25"/>
        <v>0</v>
      </c>
      <c r="G219" s="132">
        <f t="shared" si="26"/>
        <v>0</v>
      </c>
    </row>
    <row r="220" spans="1:7" ht="12.75" hidden="1">
      <c r="A220" s="22">
        <f t="shared" si="27"/>
        <v>200</v>
      </c>
      <c r="B220" s="148">
        <f t="shared" si="28"/>
        <v>0</v>
      </c>
      <c r="C220" s="131">
        <f t="shared" si="22"/>
        <v>0</v>
      </c>
      <c r="D220" s="131">
        <f t="shared" si="23"/>
        <v>0</v>
      </c>
      <c r="E220" s="131">
        <f t="shared" si="24"/>
        <v>0</v>
      </c>
      <c r="F220" s="148">
        <f t="shared" si="25"/>
        <v>0</v>
      </c>
      <c r="G220" s="132">
        <f t="shared" si="26"/>
        <v>0</v>
      </c>
    </row>
    <row r="221" spans="1:7" ht="12.75" hidden="1">
      <c r="A221" s="22">
        <f t="shared" si="27"/>
        <v>201</v>
      </c>
      <c r="B221" s="148">
        <f t="shared" si="28"/>
        <v>0</v>
      </c>
      <c r="C221" s="131">
        <f t="shared" si="22"/>
        <v>0</v>
      </c>
      <c r="D221" s="131">
        <f t="shared" si="23"/>
        <v>0</v>
      </c>
      <c r="E221" s="131">
        <f t="shared" si="24"/>
        <v>0</v>
      </c>
      <c r="F221" s="148">
        <f t="shared" si="25"/>
        <v>0</v>
      </c>
      <c r="G221" s="132">
        <f t="shared" si="26"/>
        <v>0</v>
      </c>
    </row>
    <row r="222" spans="1:7" ht="12.75" hidden="1">
      <c r="A222" s="22">
        <f t="shared" si="27"/>
        <v>202</v>
      </c>
      <c r="B222" s="148">
        <f t="shared" si="28"/>
        <v>0</v>
      </c>
      <c r="C222" s="131">
        <f t="shared" si="22"/>
        <v>0</v>
      </c>
      <c r="D222" s="131">
        <f t="shared" si="23"/>
        <v>0</v>
      </c>
      <c r="E222" s="131">
        <f t="shared" si="24"/>
        <v>0</v>
      </c>
      <c r="F222" s="148">
        <f t="shared" si="25"/>
        <v>0</v>
      </c>
      <c r="G222" s="132">
        <f t="shared" si="26"/>
        <v>0</v>
      </c>
    </row>
    <row r="223" spans="1:7" ht="12.75" hidden="1">
      <c r="A223" s="22">
        <f t="shared" si="27"/>
        <v>203</v>
      </c>
      <c r="B223" s="148">
        <f t="shared" si="28"/>
        <v>0</v>
      </c>
      <c r="C223" s="131">
        <f t="shared" si="22"/>
        <v>0</v>
      </c>
      <c r="D223" s="131">
        <f t="shared" si="23"/>
        <v>0</v>
      </c>
      <c r="E223" s="131">
        <f t="shared" si="24"/>
        <v>0</v>
      </c>
      <c r="F223" s="148">
        <f t="shared" si="25"/>
        <v>0</v>
      </c>
      <c r="G223" s="132">
        <f t="shared" si="26"/>
        <v>0</v>
      </c>
    </row>
    <row r="224" spans="1:7" ht="12.75" hidden="1">
      <c r="A224" s="22">
        <f t="shared" si="27"/>
        <v>204</v>
      </c>
      <c r="B224" s="148">
        <f t="shared" si="28"/>
        <v>0</v>
      </c>
      <c r="C224" s="131">
        <f t="shared" si="22"/>
        <v>0</v>
      </c>
      <c r="D224" s="131">
        <f t="shared" si="23"/>
        <v>0</v>
      </c>
      <c r="E224" s="131">
        <f t="shared" si="24"/>
        <v>0</v>
      </c>
      <c r="F224" s="148">
        <f t="shared" si="25"/>
        <v>0</v>
      </c>
      <c r="G224" s="132">
        <f t="shared" si="26"/>
        <v>0</v>
      </c>
    </row>
    <row r="225" spans="1:7" ht="12.75" hidden="1">
      <c r="A225" s="22">
        <f t="shared" si="27"/>
        <v>205</v>
      </c>
      <c r="B225" s="148">
        <f t="shared" si="28"/>
        <v>0</v>
      </c>
      <c r="C225" s="131">
        <f t="shared" si="22"/>
        <v>0</v>
      </c>
      <c r="D225" s="131">
        <f t="shared" si="23"/>
        <v>0</v>
      </c>
      <c r="E225" s="131">
        <f t="shared" si="24"/>
        <v>0</v>
      </c>
      <c r="F225" s="148">
        <f t="shared" si="25"/>
        <v>0</v>
      </c>
      <c r="G225" s="132">
        <f t="shared" si="26"/>
        <v>0</v>
      </c>
    </row>
    <row r="226" spans="1:7" ht="12.75" hidden="1">
      <c r="A226" s="22">
        <f t="shared" si="27"/>
        <v>206</v>
      </c>
      <c r="B226" s="148">
        <f t="shared" si="28"/>
        <v>0</v>
      </c>
      <c r="C226" s="131">
        <f t="shared" si="22"/>
        <v>0</v>
      </c>
      <c r="D226" s="131">
        <f t="shared" si="23"/>
        <v>0</v>
      </c>
      <c r="E226" s="131">
        <f t="shared" si="24"/>
        <v>0</v>
      </c>
      <c r="F226" s="148">
        <f t="shared" si="25"/>
        <v>0</v>
      </c>
      <c r="G226" s="132">
        <f t="shared" si="26"/>
        <v>0</v>
      </c>
    </row>
    <row r="227" spans="1:7" ht="12.75" hidden="1">
      <c r="A227" s="22">
        <f t="shared" si="27"/>
        <v>207</v>
      </c>
      <c r="B227" s="148">
        <f t="shared" si="28"/>
        <v>0</v>
      </c>
      <c r="C227" s="131">
        <f t="shared" si="22"/>
        <v>0</v>
      </c>
      <c r="D227" s="131">
        <f t="shared" si="23"/>
        <v>0</v>
      </c>
      <c r="E227" s="131">
        <f t="shared" si="24"/>
        <v>0</v>
      </c>
      <c r="F227" s="148">
        <f t="shared" si="25"/>
        <v>0</v>
      </c>
      <c r="G227" s="132">
        <f t="shared" si="26"/>
        <v>0</v>
      </c>
    </row>
    <row r="228" spans="1:7" ht="12.75" hidden="1">
      <c r="A228" s="22">
        <f t="shared" si="27"/>
        <v>208</v>
      </c>
      <c r="B228" s="148">
        <f t="shared" si="28"/>
        <v>0</v>
      </c>
      <c r="C228" s="131">
        <f t="shared" si="22"/>
        <v>0</v>
      </c>
      <c r="D228" s="131">
        <f t="shared" si="23"/>
        <v>0</v>
      </c>
      <c r="E228" s="131">
        <f t="shared" si="24"/>
        <v>0</v>
      </c>
      <c r="F228" s="148">
        <f t="shared" si="25"/>
        <v>0</v>
      </c>
      <c r="G228" s="132">
        <f t="shared" si="26"/>
        <v>0</v>
      </c>
    </row>
    <row r="229" spans="1:7" ht="12.75" hidden="1">
      <c r="A229" s="22">
        <f t="shared" si="27"/>
        <v>209</v>
      </c>
      <c r="B229" s="148">
        <f t="shared" si="28"/>
        <v>0</v>
      </c>
      <c r="C229" s="131">
        <f t="shared" si="22"/>
        <v>0</v>
      </c>
      <c r="D229" s="131">
        <f t="shared" si="23"/>
        <v>0</v>
      </c>
      <c r="E229" s="131">
        <f t="shared" si="24"/>
        <v>0</v>
      </c>
      <c r="F229" s="148">
        <f t="shared" si="25"/>
        <v>0</v>
      </c>
      <c r="G229" s="132">
        <f t="shared" si="26"/>
        <v>0</v>
      </c>
    </row>
    <row r="230" spans="1:7" ht="12.75" hidden="1">
      <c r="A230" s="22">
        <f t="shared" si="27"/>
        <v>210</v>
      </c>
      <c r="B230" s="148">
        <f t="shared" si="28"/>
        <v>0</v>
      </c>
      <c r="C230" s="131">
        <f t="shared" si="22"/>
        <v>0</v>
      </c>
      <c r="D230" s="131">
        <f t="shared" si="23"/>
        <v>0</v>
      </c>
      <c r="E230" s="131">
        <f t="shared" si="24"/>
        <v>0</v>
      </c>
      <c r="F230" s="148">
        <f t="shared" si="25"/>
        <v>0</v>
      </c>
      <c r="G230" s="132">
        <f t="shared" si="26"/>
        <v>0</v>
      </c>
    </row>
    <row r="231" spans="1:7" ht="12.75" hidden="1">
      <c r="A231" s="22">
        <f t="shared" si="27"/>
        <v>211</v>
      </c>
      <c r="B231" s="148">
        <f t="shared" si="28"/>
        <v>0</v>
      </c>
      <c r="C231" s="131">
        <f t="shared" si="22"/>
        <v>0</v>
      </c>
      <c r="D231" s="131">
        <f t="shared" si="23"/>
        <v>0</v>
      </c>
      <c r="E231" s="131">
        <f t="shared" si="24"/>
        <v>0</v>
      </c>
      <c r="F231" s="148">
        <f t="shared" si="25"/>
        <v>0</v>
      </c>
      <c r="G231" s="132">
        <f t="shared" si="26"/>
        <v>0</v>
      </c>
    </row>
    <row r="232" spans="1:7" ht="12.75" hidden="1">
      <c r="A232" s="22">
        <f t="shared" si="27"/>
        <v>212</v>
      </c>
      <c r="B232" s="148">
        <f t="shared" si="28"/>
        <v>0</v>
      </c>
      <c r="C232" s="131">
        <f t="shared" si="22"/>
        <v>0</v>
      </c>
      <c r="D232" s="131">
        <f t="shared" si="23"/>
        <v>0</v>
      </c>
      <c r="E232" s="131">
        <f t="shared" si="24"/>
        <v>0</v>
      </c>
      <c r="F232" s="148">
        <f t="shared" si="25"/>
        <v>0</v>
      </c>
      <c r="G232" s="132">
        <f t="shared" si="26"/>
        <v>0</v>
      </c>
    </row>
    <row r="233" spans="1:7" ht="12.75" hidden="1">
      <c r="A233" s="22">
        <f t="shared" si="27"/>
        <v>213</v>
      </c>
      <c r="B233" s="148">
        <f t="shared" si="28"/>
        <v>0</v>
      </c>
      <c r="C233" s="131">
        <f t="shared" si="22"/>
        <v>0</v>
      </c>
      <c r="D233" s="131">
        <f t="shared" si="23"/>
        <v>0</v>
      </c>
      <c r="E233" s="131">
        <f t="shared" si="24"/>
        <v>0</v>
      </c>
      <c r="F233" s="148">
        <f t="shared" si="25"/>
        <v>0</v>
      </c>
      <c r="G233" s="132">
        <f t="shared" si="26"/>
        <v>0</v>
      </c>
    </row>
    <row r="234" spans="1:7" ht="12.75" hidden="1">
      <c r="A234" s="22">
        <f t="shared" si="27"/>
        <v>214</v>
      </c>
      <c r="B234" s="148">
        <f t="shared" si="28"/>
        <v>0</v>
      </c>
      <c r="C234" s="131">
        <f t="shared" si="22"/>
        <v>0</v>
      </c>
      <c r="D234" s="131">
        <f t="shared" si="23"/>
        <v>0</v>
      </c>
      <c r="E234" s="131">
        <f t="shared" si="24"/>
        <v>0</v>
      </c>
      <c r="F234" s="148">
        <f t="shared" si="25"/>
        <v>0</v>
      </c>
      <c r="G234" s="132">
        <f t="shared" si="26"/>
        <v>0</v>
      </c>
    </row>
    <row r="235" spans="1:7" ht="12.75" hidden="1">
      <c r="A235" s="22">
        <f t="shared" si="27"/>
        <v>215</v>
      </c>
      <c r="B235" s="148">
        <f t="shared" si="28"/>
        <v>0</v>
      </c>
      <c r="C235" s="131">
        <f t="shared" si="22"/>
        <v>0</v>
      </c>
      <c r="D235" s="131">
        <f t="shared" si="23"/>
        <v>0</v>
      </c>
      <c r="E235" s="131">
        <f t="shared" si="24"/>
        <v>0</v>
      </c>
      <c r="F235" s="148">
        <f t="shared" si="25"/>
        <v>0</v>
      </c>
      <c r="G235" s="132">
        <f t="shared" si="26"/>
        <v>0</v>
      </c>
    </row>
    <row r="236" spans="1:7" ht="12.75" hidden="1">
      <c r="A236" s="22">
        <f t="shared" si="27"/>
        <v>216</v>
      </c>
      <c r="B236" s="148">
        <f t="shared" si="28"/>
        <v>0</v>
      </c>
      <c r="C236" s="131">
        <f t="shared" si="22"/>
        <v>0</v>
      </c>
      <c r="D236" s="131">
        <f t="shared" si="23"/>
        <v>0</v>
      </c>
      <c r="E236" s="131">
        <f t="shared" si="24"/>
        <v>0</v>
      </c>
      <c r="F236" s="148">
        <f t="shared" si="25"/>
        <v>0</v>
      </c>
      <c r="G236" s="132">
        <f t="shared" si="26"/>
        <v>0</v>
      </c>
    </row>
    <row r="237" spans="1:7" ht="12.75" hidden="1">
      <c r="A237" s="22">
        <f t="shared" si="27"/>
        <v>217</v>
      </c>
      <c r="B237" s="148">
        <f t="shared" si="28"/>
        <v>0</v>
      </c>
      <c r="C237" s="131">
        <f t="shared" si="22"/>
        <v>0</v>
      </c>
      <c r="D237" s="131">
        <f t="shared" si="23"/>
        <v>0</v>
      </c>
      <c r="E237" s="131">
        <f t="shared" si="24"/>
        <v>0</v>
      </c>
      <c r="F237" s="148">
        <f t="shared" si="25"/>
        <v>0</v>
      </c>
      <c r="G237" s="132">
        <f t="shared" si="26"/>
        <v>0</v>
      </c>
    </row>
    <row r="238" spans="1:7" ht="12.75" hidden="1">
      <c r="A238" s="22">
        <f t="shared" si="27"/>
        <v>218</v>
      </c>
      <c r="B238" s="148">
        <f t="shared" si="28"/>
        <v>0</v>
      </c>
      <c r="C238" s="131">
        <f t="shared" si="22"/>
        <v>0</v>
      </c>
      <c r="D238" s="131">
        <f t="shared" si="23"/>
        <v>0</v>
      </c>
      <c r="E238" s="131">
        <f t="shared" si="24"/>
        <v>0</v>
      </c>
      <c r="F238" s="148">
        <f t="shared" si="25"/>
        <v>0</v>
      </c>
      <c r="G238" s="132">
        <f t="shared" si="26"/>
        <v>0</v>
      </c>
    </row>
    <row r="239" spans="1:7" ht="12.75" hidden="1">
      <c r="A239" s="22">
        <f t="shared" si="27"/>
        <v>219</v>
      </c>
      <c r="B239" s="148">
        <f t="shared" si="28"/>
        <v>0</v>
      </c>
      <c r="C239" s="131">
        <f t="shared" si="22"/>
        <v>0</v>
      </c>
      <c r="D239" s="131">
        <f t="shared" si="23"/>
        <v>0</v>
      </c>
      <c r="E239" s="131">
        <f t="shared" si="24"/>
        <v>0</v>
      </c>
      <c r="F239" s="148">
        <f t="shared" si="25"/>
        <v>0</v>
      </c>
      <c r="G239" s="132">
        <f t="shared" si="26"/>
        <v>0</v>
      </c>
    </row>
    <row r="240" spans="1:7" ht="12.75" hidden="1">
      <c r="A240" s="22">
        <f t="shared" si="27"/>
        <v>220</v>
      </c>
      <c r="B240" s="148">
        <f t="shared" si="28"/>
        <v>0</v>
      </c>
      <c r="C240" s="131">
        <f t="shared" si="22"/>
        <v>0</v>
      </c>
      <c r="D240" s="131">
        <f t="shared" si="23"/>
        <v>0</v>
      </c>
      <c r="E240" s="131">
        <f t="shared" si="24"/>
        <v>0</v>
      </c>
      <c r="F240" s="148">
        <f t="shared" si="25"/>
        <v>0</v>
      </c>
      <c r="G240" s="132">
        <f t="shared" si="26"/>
        <v>0</v>
      </c>
    </row>
    <row r="241" spans="1:7" ht="12.75" hidden="1">
      <c r="A241" s="22">
        <f t="shared" si="27"/>
        <v>221</v>
      </c>
      <c r="B241" s="148">
        <f t="shared" si="28"/>
        <v>0</v>
      </c>
      <c r="C241" s="131">
        <f t="shared" si="22"/>
        <v>0</v>
      </c>
      <c r="D241" s="131">
        <f t="shared" si="23"/>
        <v>0</v>
      </c>
      <c r="E241" s="131">
        <f t="shared" si="24"/>
        <v>0</v>
      </c>
      <c r="F241" s="148">
        <f t="shared" si="25"/>
        <v>0</v>
      </c>
      <c r="G241" s="132">
        <f t="shared" si="26"/>
        <v>0</v>
      </c>
    </row>
    <row r="242" spans="1:7" ht="12.75" hidden="1">
      <c r="A242" s="22">
        <f t="shared" si="27"/>
        <v>222</v>
      </c>
      <c r="B242" s="148">
        <f t="shared" si="28"/>
        <v>0</v>
      </c>
      <c r="C242" s="131">
        <f t="shared" si="22"/>
        <v>0</v>
      </c>
      <c r="D242" s="131">
        <f t="shared" si="23"/>
        <v>0</v>
      </c>
      <c r="E242" s="131">
        <f t="shared" si="24"/>
        <v>0</v>
      </c>
      <c r="F242" s="148">
        <f t="shared" si="25"/>
        <v>0</v>
      </c>
      <c r="G242" s="132">
        <f t="shared" si="26"/>
        <v>0</v>
      </c>
    </row>
    <row r="243" spans="1:7" ht="12.75" hidden="1">
      <c r="A243" s="22">
        <f t="shared" si="27"/>
        <v>223</v>
      </c>
      <c r="B243" s="148">
        <f t="shared" si="28"/>
        <v>0</v>
      </c>
      <c r="C243" s="131">
        <f t="shared" si="22"/>
        <v>0</v>
      </c>
      <c r="D243" s="131">
        <f t="shared" si="23"/>
        <v>0</v>
      </c>
      <c r="E243" s="131">
        <f t="shared" si="24"/>
        <v>0</v>
      </c>
      <c r="F243" s="148">
        <f t="shared" si="25"/>
        <v>0</v>
      </c>
      <c r="G243" s="132">
        <f t="shared" si="26"/>
        <v>0</v>
      </c>
    </row>
    <row r="244" spans="1:7" ht="12.75" hidden="1">
      <c r="A244" s="22">
        <f t="shared" si="27"/>
        <v>224</v>
      </c>
      <c r="B244" s="148">
        <f t="shared" si="28"/>
        <v>0</v>
      </c>
      <c r="C244" s="131">
        <f t="shared" si="22"/>
        <v>0</v>
      </c>
      <c r="D244" s="131">
        <f t="shared" si="23"/>
        <v>0</v>
      </c>
      <c r="E244" s="131">
        <f t="shared" si="24"/>
        <v>0</v>
      </c>
      <c r="F244" s="148">
        <f t="shared" si="25"/>
        <v>0</v>
      </c>
      <c r="G244" s="132">
        <f t="shared" si="26"/>
        <v>0</v>
      </c>
    </row>
    <row r="245" spans="1:7" ht="12.75" hidden="1">
      <c r="A245" s="22">
        <f t="shared" si="27"/>
        <v>225</v>
      </c>
      <c r="B245" s="148">
        <f t="shared" si="28"/>
        <v>0</v>
      </c>
      <c r="C245" s="131">
        <f t="shared" si="22"/>
        <v>0</v>
      </c>
      <c r="D245" s="131">
        <f t="shared" si="23"/>
        <v>0</v>
      </c>
      <c r="E245" s="131">
        <f t="shared" si="24"/>
        <v>0</v>
      </c>
      <c r="F245" s="148">
        <f t="shared" si="25"/>
        <v>0</v>
      </c>
      <c r="G245" s="132">
        <f t="shared" si="26"/>
        <v>0</v>
      </c>
    </row>
    <row r="246" spans="1:7" ht="12.75" hidden="1">
      <c r="A246" s="22">
        <f t="shared" si="27"/>
        <v>226</v>
      </c>
      <c r="B246" s="148">
        <f t="shared" si="28"/>
        <v>0</v>
      </c>
      <c r="C246" s="131">
        <f t="shared" si="22"/>
        <v>0</v>
      </c>
      <c r="D246" s="131">
        <f t="shared" si="23"/>
        <v>0</v>
      </c>
      <c r="E246" s="131">
        <f t="shared" si="24"/>
        <v>0</v>
      </c>
      <c r="F246" s="148">
        <f t="shared" si="25"/>
        <v>0</v>
      </c>
      <c r="G246" s="132">
        <f t="shared" si="26"/>
        <v>0</v>
      </c>
    </row>
    <row r="247" spans="1:7" ht="12.75" hidden="1">
      <c r="A247" s="22">
        <f t="shared" si="27"/>
        <v>227</v>
      </c>
      <c r="B247" s="148">
        <f t="shared" si="28"/>
        <v>0</v>
      </c>
      <c r="C247" s="131">
        <f t="shared" si="22"/>
        <v>0</v>
      </c>
      <c r="D247" s="131">
        <f t="shared" si="23"/>
        <v>0</v>
      </c>
      <c r="E247" s="131">
        <f t="shared" si="24"/>
        <v>0</v>
      </c>
      <c r="F247" s="148">
        <f t="shared" si="25"/>
        <v>0</v>
      </c>
      <c r="G247" s="132">
        <f t="shared" si="26"/>
        <v>0</v>
      </c>
    </row>
    <row r="248" spans="1:7" ht="12.75" hidden="1">
      <c r="A248" s="22">
        <f t="shared" si="27"/>
        <v>228</v>
      </c>
      <c r="B248" s="148">
        <f t="shared" si="28"/>
        <v>0</v>
      </c>
      <c r="C248" s="131">
        <f t="shared" si="22"/>
        <v>0</v>
      </c>
      <c r="D248" s="131">
        <f t="shared" si="23"/>
        <v>0</v>
      </c>
      <c r="E248" s="131">
        <f t="shared" si="24"/>
        <v>0</v>
      </c>
      <c r="F248" s="148">
        <f t="shared" si="25"/>
        <v>0</v>
      </c>
      <c r="G248" s="132">
        <f t="shared" si="26"/>
        <v>0</v>
      </c>
    </row>
    <row r="249" spans="1:7" ht="12.75" hidden="1">
      <c r="A249" s="22">
        <f t="shared" si="27"/>
        <v>229</v>
      </c>
      <c r="B249" s="148">
        <f t="shared" si="28"/>
        <v>0</v>
      </c>
      <c r="C249" s="131">
        <f t="shared" si="22"/>
        <v>0</v>
      </c>
      <c r="D249" s="131">
        <f t="shared" si="23"/>
        <v>0</v>
      </c>
      <c r="E249" s="131">
        <f t="shared" si="24"/>
        <v>0</v>
      </c>
      <c r="F249" s="148">
        <f t="shared" si="25"/>
        <v>0</v>
      </c>
      <c r="G249" s="132">
        <f t="shared" si="26"/>
        <v>0</v>
      </c>
    </row>
    <row r="250" spans="1:7" ht="12.75" hidden="1">
      <c r="A250" s="22">
        <f t="shared" si="27"/>
        <v>230</v>
      </c>
      <c r="B250" s="148">
        <f t="shared" si="28"/>
        <v>0</v>
      </c>
      <c r="C250" s="131">
        <f t="shared" si="22"/>
        <v>0</v>
      </c>
      <c r="D250" s="131">
        <f t="shared" si="23"/>
        <v>0</v>
      </c>
      <c r="E250" s="131">
        <f t="shared" si="24"/>
        <v>0</v>
      </c>
      <c r="F250" s="148">
        <f t="shared" si="25"/>
        <v>0</v>
      </c>
      <c r="G250" s="132">
        <f t="shared" si="26"/>
        <v>0</v>
      </c>
    </row>
    <row r="251" spans="1:7" ht="12.75" hidden="1">
      <c r="A251" s="22">
        <f t="shared" si="27"/>
        <v>231</v>
      </c>
      <c r="B251" s="148">
        <f t="shared" si="28"/>
        <v>0</v>
      </c>
      <c r="C251" s="131">
        <f t="shared" si="22"/>
        <v>0</v>
      </c>
      <c r="D251" s="131">
        <f t="shared" si="23"/>
        <v>0</v>
      </c>
      <c r="E251" s="131">
        <f t="shared" si="24"/>
        <v>0</v>
      </c>
      <c r="F251" s="148">
        <f t="shared" si="25"/>
        <v>0</v>
      </c>
      <c r="G251" s="132">
        <f t="shared" si="26"/>
        <v>0</v>
      </c>
    </row>
    <row r="252" spans="1:7" ht="12.75" hidden="1">
      <c r="A252" s="22">
        <f t="shared" si="27"/>
        <v>232</v>
      </c>
      <c r="B252" s="148">
        <f t="shared" si="28"/>
        <v>0</v>
      </c>
      <c r="C252" s="131">
        <f t="shared" si="22"/>
        <v>0</v>
      </c>
      <c r="D252" s="131">
        <f t="shared" si="23"/>
        <v>0</v>
      </c>
      <c r="E252" s="131">
        <f t="shared" si="24"/>
        <v>0</v>
      </c>
      <c r="F252" s="148">
        <f t="shared" si="25"/>
        <v>0</v>
      </c>
      <c r="G252" s="132">
        <f t="shared" si="26"/>
        <v>0</v>
      </c>
    </row>
    <row r="253" spans="1:7" ht="12.75" hidden="1">
      <c r="A253" s="22">
        <f t="shared" si="27"/>
        <v>233</v>
      </c>
      <c r="B253" s="148">
        <f t="shared" si="28"/>
        <v>0</v>
      </c>
      <c r="C253" s="131">
        <f t="shared" si="22"/>
        <v>0</v>
      </c>
      <c r="D253" s="131">
        <f t="shared" si="23"/>
        <v>0</v>
      </c>
      <c r="E253" s="131">
        <f t="shared" si="24"/>
        <v>0</v>
      </c>
      <c r="F253" s="148">
        <f t="shared" si="25"/>
        <v>0</v>
      </c>
      <c r="G253" s="132">
        <f t="shared" si="26"/>
        <v>0</v>
      </c>
    </row>
    <row r="254" spans="1:7" ht="12.75" hidden="1">
      <c r="A254" s="22">
        <f t="shared" si="27"/>
        <v>234</v>
      </c>
      <c r="B254" s="148">
        <f t="shared" si="28"/>
        <v>0</v>
      </c>
      <c r="C254" s="131">
        <f t="shared" si="22"/>
        <v>0</v>
      </c>
      <c r="D254" s="131">
        <f t="shared" si="23"/>
        <v>0</v>
      </c>
      <c r="E254" s="131">
        <f t="shared" si="24"/>
        <v>0</v>
      </c>
      <c r="F254" s="148">
        <f t="shared" si="25"/>
        <v>0</v>
      </c>
      <c r="G254" s="132">
        <f t="shared" si="26"/>
        <v>0</v>
      </c>
    </row>
    <row r="255" spans="1:7" ht="12.75" hidden="1">
      <c r="A255" s="22">
        <f t="shared" si="27"/>
        <v>235</v>
      </c>
      <c r="B255" s="148">
        <f t="shared" si="28"/>
        <v>0</v>
      </c>
      <c r="C255" s="131">
        <f t="shared" si="22"/>
        <v>0</v>
      </c>
      <c r="D255" s="131">
        <f t="shared" si="23"/>
        <v>0</v>
      </c>
      <c r="E255" s="131">
        <f t="shared" si="24"/>
        <v>0</v>
      </c>
      <c r="F255" s="148">
        <f t="shared" si="25"/>
        <v>0</v>
      </c>
      <c r="G255" s="132">
        <f t="shared" si="26"/>
        <v>0</v>
      </c>
    </row>
    <row r="256" spans="1:7" ht="12.75" hidden="1">
      <c r="A256" s="22">
        <f t="shared" si="27"/>
        <v>236</v>
      </c>
      <c r="B256" s="148">
        <f t="shared" si="28"/>
        <v>0</v>
      </c>
      <c r="C256" s="131">
        <f t="shared" si="22"/>
        <v>0</v>
      </c>
      <c r="D256" s="131">
        <f t="shared" si="23"/>
        <v>0</v>
      </c>
      <c r="E256" s="131">
        <f t="shared" si="24"/>
        <v>0</v>
      </c>
      <c r="F256" s="148">
        <f t="shared" si="25"/>
        <v>0</v>
      </c>
      <c r="G256" s="132">
        <f t="shared" si="26"/>
        <v>0</v>
      </c>
    </row>
    <row r="257" spans="1:7" ht="12.75" hidden="1">
      <c r="A257" s="22">
        <f t="shared" si="27"/>
        <v>237</v>
      </c>
      <c r="B257" s="148">
        <f t="shared" si="28"/>
        <v>0</v>
      </c>
      <c r="C257" s="131">
        <f t="shared" si="22"/>
        <v>0</v>
      </c>
      <c r="D257" s="131">
        <f t="shared" si="23"/>
        <v>0</v>
      </c>
      <c r="E257" s="131">
        <f t="shared" si="24"/>
        <v>0</v>
      </c>
      <c r="F257" s="148">
        <f t="shared" si="25"/>
        <v>0</v>
      </c>
      <c r="G257" s="132">
        <f t="shared" si="26"/>
        <v>0</v>
      </c>
    </row>
    <row r="258" spans="1:7" ht="12.75" hidden="1">
      <c r="A258" s="22">
        <f t="shared" si="27"/>
        <v>238</v>
      </c>
      <c r="B258" s="148">
        <f t="shared" si="28"/>
        <v>0</v>
      </c>
      <c r="C258" s="131">
        <f t="shared" si="22"/>
        <v>0</v>
      </c>
      <c r="D258" s="131">
        <f t="shared" si="23"/>
        <v>0</v>
      </c>
      <c r="E258" s="131">
        <f t="shared" si="24"/>
        <v>0</v>
      </c>
      <c r="F258" s="148">
        <f t="shared" si="25"/>
        <v>0</v>
      </c>
      <c r="G258" s="132">
        <f t="shared" si="26"/>
        <v>0</v>
      </c>
    </row>
    <row r="259" spans="1:7" ht="12.75" hidden="1">
      <c r="A259" s="22">
        <f t="shared" si="27"/>
        <v>239</v>
      </c>
      <c r="B259" s="148">
        <f t="shared" si="28"/>
        <v>0</v>
      </c>
      <c r="C259" s="131">
        <f t="shared" si="22"/>
        <v>0</v>
      </c>
      <c r="D259" s="131">
        <f t="shared" si="23"/>
        <v>0</v>
      </c>
      <c r="E259" s="131">
        <f t="shared" si="24"/>
        <v>0</v>
      </c>
      <c r="F259" s="148">
        <f t="shared" si="25"/>
        <v>0</v>
      </c>
      <c r="G259" s="132">
        <f t="shared" si="26"/>
        <v>0</v>
      </c>
    </row>
    <row r="260" spans="1:7" ht="12.75" hidden="1">
      <c r="A260" s="22">
        <f t="shared" si="27"/>
        <v>240</v>
      </c>
      <c r="B260" s="148">
        <f t="shared" si="28"/>
        <v>0</v>
      </c>
      <c r="C260" s="131">
        <f t="shared" si="22"/>
        <v>0</v>
      </c>
      <c r="D260" s="131">
        <f t="shared" si="23"/>
        <v>0</v>
      </c>
      <c r="E260" s="131">
        <f t="shared" si="24"/>
        <v>0</v>
      </c>
      <c r="F260" s="148">
        <f t="shared" si="25"/>
        <v>0</v>
      </c>
      <c r="G260" s="132">
        <f t="shared" si="26"/>
        <v>0</v>
      </c>
    </row>
    <row r="261" spans="1:7" ht="12.75" hidden="1">
      <c r="A261" s="22">
        <f t="shared" si="27"/>
        <v>241</v>
      </c>
      <c r="B261" s="148">
        <f t="shared" si="28"/>
        <v>0</v>
      </c>
      <c r="C261" s="131">
        <f t="shared" si="22"/>
        <v>0</v>
      </c>
      <c r="D261" s="131">
        <f t="shared" si="23"/>
        <v>0</v>
      </c>
      <c r="E261" s="131">
        <f t="shared" si="24"/>
        <v>0</v>
      </c>
      <c r="F261" s="148">
        <f t="shared" si="25"/>
        <v>0</v>
      </c>
      <c r="G261" s="132">
        <f t="shared" si="26"/>
        <v>0</v>
      </c>
    </row>
    <row r="262" spans="1:7" ht="12.75" hidden="1">
      <c r="A262" s="22">
        <f t="shared" si="27"/>
        <v>242</v>
      </c>
      <c r="B262" s="148">
        <f t="shared" si="28"/>
        <v>0</v>
      </c>
      <c r="C262" s="131">
        <f t="shared" si="22"/>
        <v>0</v>
      </c>
      <c r="D262" s="131">
        <f t="shared" si="23"/>
        <v>0</v>
      </c>
      <c r="E262" s="131">
        <f t="shared" si="24"/>
        <v>0</v>
      </c>
      <c r="F262" s="148">
        <f t="shared" si="25"/>
        <v>0</v>
      </c>
      <c r="G262" s="132">
        <f t="shared" si="26"/>
        <v>0</v>
      </c>
    </row>
    <row r="263" spans="1:7" ht="12.75" hidden="1">
      <c r="A263" s="22">
        <f t="shared" si="27"/>
        <v>243</v>
      </c>
      <c r="B263" s="148">
        <f t="shared" si="28"/>
        <v>0</v>
      </c>
      <c r="C263" s="131">
        <f t="shared" si="22"/>
        <v>0</v>
      </c>
      <c r="D263" s="131">
        <f t="shared" si="23"/>
        <v>0</v>
      </c>
      <c r="E263" s="131">
        <f t="shared" si="24"/>
        <v>0</v>
      </c>
      <c r="F263" s="148">
        <f t="shared" si="25"/>
        <v>0</v>
      </c>
      <c r="G263" s="132">
        <f t="shared" si="26"/>
        <v>0</v>
      </c>
    </row>
    <row r="264" spans="1:7" ht="12.75" hidden="1">
      <c r="A264" s="22">
        <f t="shared" si="27"/>
        <v>244</v>
      </c>
      <c r="B264" s="148">
        <f t="shared" si="28"/>
        <v>0</v>
      </c>
      <c r="C264" s="131">
        <f t="shared" si="22"/>
        <v>0</v>
      </c>
      <c r="D264" s="131">
        <f t="shared" si="23"/>
        <v>0</v>
      </c>
      <c r="E264" s="131">
        <f t="shared" si="24"/>
        <v>0</v>
      </c>
      <c r="F264" s="148">
        <f t="shared" si="25"/>
        <v>0</v>
      </c>
      <c r="G264" s="132">
        <f t="shared" si="26"/>
        <v>0</v>
      </c>
    </row>
    <row r="265" spans="1:7" ht="12.75" hidden="1">
      <c r="A265" s="22">
        <f t="shared" si="27"/>
        <v>245</v>
      </c>
      <c r="B265" s="148">
        <f t="shared" si="28"/>
        <v>0</v>
      </c>
      <c r="C265" s="131">
        <f t="shared" si="22"/>
        <v>0</v>
      </c>
      <c r="D265" s="131">
        <f t="shared" si="23"/>
        <v>0</v>
      </c>
      <c r="E265" s="131">
        <f t="shared" si="24"/>
        <v>0</v>
      </c>
      <c r="F265" s="148">
        <f t="shared" si="25"/>
        <v>0</v>
      </c>
      <c r="G265" s="132">
        <f t="shared" si="26"/>
        <v>0</v>
      </c>
    </row>
    <row r="266" spans="1:7" ht="12.75" hidden="1">
      <c r="A266" s="22">
        <f t="shared" si="27"/>
        <v>246</v>
      </c>
      <c r="B266" s="148">
        <f t="shared" si="28"/>
        <v>0</v>
      </c>
      <c r="C266" s="131">
        <f t="shared" si="22"/>
        <v>0</v>
      </c>
      <c r="D266" s="131">
        <f t="shared" si="23"/>
        <v>0</v>
      </c>
      <c r="E266" s="131">
        <f t="shared" si="24"/>
        <v>0</v>
      </c>
      <c r="F266" s="148">
        <f t="shared" si="25"/>
        <v>0</v>
      </c>
      <c r="G266" s="132">
        <f t="shared" si="26"/>
        <v>0</v>
      </c>
    </row>
    <row r="267" spans="1:7" ht="12.75" hidden="1">
      <c r="A267" s="22">
        <f t="shared" si="27"/>
        <v>247</v>
      </c>
      <c r="B267" s="148">
        <f t="shared" si="28"/>
        <v>0</v>
      </c>
      <c r="C267" s="131">
        <f t="shared" si="22"/>
        <v>0</v>
      </c>
      <c r="D267" s="131">
        <f t="shared" si="23"/>
        <v>0</v>
      </c>
      <c r="E267" s="131">
        <f t="shared" si="24"/>
        <v>0</v>
      </c>
      <c r="F267" s="148">
        <f t="shared" si="25"/>
        <v>0</v>
      </c>
      <c r="G267" s="132">
        <f t="shared" si="26"/>
        <v>0</v>
      </c>
    </row>
    <row r="268" spans="1:7" ht="12.75" hidden="1">
      <c r="A268" s="22">
        <f t="shared" si="27"/>
        <v>248</v>
      </c>
      <c r="B268" s="148">
        <f t="shared" si="28"/>
        <v>0</v>
      </c>
      <c r="C268" s="131">
        <f t="shared" si="22"/>
        <v>0</v>
      </c>
      <c r="D268" s="131">
        <f t="shared" si="23"/>
        <v>0</v>
      </c>
      <c r="E268" s="131">
        <f t="shared" si="24"/>
        <v>0</v>
      </c>
      <c r="F268" s="148">
        <f t="shared" si="25"/>
        <v>0</v>
      </c>
      <c r="G268" s="132">
        <f t="shared" si="26"/>
        <v>0</v>
      </c>
    </row>
    <row r="269" spans="1:7" ht="12.75" hidden="1">
      <c r="A269" s="22">
        <f t="shared" si="27"/>
        <v>249</v>
      </c>
      <c r="B269" s="148">
        <f t="shared" si="28"/>
        <v>0</v>
      </c>
      <c r="C269" s="131">
        <f t="shared" si="22"/>
        <v>0</v>
      </c>
      <c r="D269" s="131">
        <f t="shared" si="23"/>
        <v>0</v>
      </c>
      <c r="E269" s="131">
        <f t="shared" si="24"/>
        <v>0</v>
      </c>
      <c r="F269" s="148">
        <f t="shared" si="25"/>
        <v>0</v>
      </c>
      <c r="G269" s="132">
        <f t="shared" si="26"/>
        <v>0</v>
      </c>
    </row>
    <row r="270" spans="1:7" ht="12.75" hidden="1">
      <c r="A270" s="22">
        <f t="shared" si="27"/>
        <v>250</v>
      </c>
      <c r="B270" s="148">
        <f t="shared" si="28"/>
        <v>0</v>
      </c>
      <c r="C270" s="131">
        <f t="shared" si="22"/>
        <v>0</v>
      </c>
      <c r="D270" s="131">
        <f t="shared" si="23"/>
        <v>0</v>
      </c>
      <c r="E270" s="131">
        <f t="shared" si="24"/>
        <v>0</v>
      </c>
      <c r="F270" s="148">
        <f t="shared" si="25"/>
        <v>0</v>
      </c>
      <c r="G270" s="132">
        <f t="shared" si="26"/>
        <v>0</v>
      </c>
    </row>
    <row r="271" spans="1:7" ht="12.75" hidden="1">
      <c r="A271" s="22">
        <f t="shared" si="27"/>
        <v>251</v>
      </c>
      <c r="B271" s="148">
        <f t="shared" si="28"/>
        <v>0</v>
      </c>
      <c r="C271" s="131">
        <f t="shared" si="22"/>
        <v>0</v>
      </c>
      <c r="D271" s="131">
        <f t="shared" si="23"/>
        <v>0</v>
      </c>
      <c r="E271" s="131">
        <f t="shared" si="24"/>
        <v>0</v>
      </c>
      <c r="F271" s="148">
        <f t="shared" si="25"/>
        <v>0</v>
      </c>
      <c r="G271" s="132">
        <f t="shared" si="26"/>
        <v>0</v>
      </c>
    </row>
    <row r="272" spans="1:7" ht="12.75" hidden="1">
      <c r="A272" s="22">
        <f t="shared" si="27"/>
        <v>252</v>
      </c>
      <c r="B272" s="148">
        <f t="shared" si="28"/>
        <v>0</v>
      </c>
      <c r="C272" s="131">
        <f t="shared" si="22"/>
        <v>0</v>
      </c>
      <c r="D272" s="131">
        <f t="shared" si="23"/>
        <v>0</v>
      </c>
      <c r="E272" s="131">
        <f t="shared" si="24"/>
        <v>0</v>
      </c>
      <c r="F272" s="148">
        <f t="shared" si="25"/>
        <v>0</v>
      </c>
      <c r="G272" s="132">
        <f t="shared" si="26"/>
        <v>0</v>
      </c>
    </row>
    <row r="273" spans="1:7" ht="12.75" hidden="1">
      <c r="A273" s="22">
        <f t="shared" si="27"/>
        <v>253</v>
      </c>
      <c r="B273" s="148">
        <f t="shared" si="28"/>
        <v>0</v>
      </c>
      <c r="C273" s="131">
        <f t="shared" si="22"/>
        <v>0</v>
      </c>
      <c r="D273" s="131">
        <f t="shared" si="23"/>
        <v>0</v>
      </c>
      <c r="E273" s="131">
        <f t="shared" si="24"/>
        <v>0</v>
      </c>
      <c r="F273" s="148">
        <f t="shared" si="25"/>
        <v>0</v>
      </c>
      <c r="G273" s="132">
        <f t="shared" si="26"/>
        <v>0</v>
      </c>
    </row>
    <row r="274" spans="1:7" ht="12.75" hidden="1">
      <c r="A274" s="22">
        <f t="shared" si="27"/>
        <v>254</v>
      </c>
      <c r="B274" s="148">
        <f t="shared" si="28"/>
        <v>0</v>
      </c>
      <c r="C274" s="131">
        <f t="shared" si="22"/>
        <v>0</v>
      </c>
      <c r="D274" s="131">
        <f t="shared" si="23"/>
        <v>0</v>
      </c>
      <c r="E274" s="131">
        <f t="shared" si="24"/>
        <v>0</v>
      </c>
      <c r="F274" s="148">
        <f t="shared" si="25"/>
        <v>0</v>
      </c>
      <c r="G274" s="132">
        <f t="shared" si="26"/>
        <v>0</v>
      </c>
    </row>
    <row r="275" spans="1:7" ht="12.75" hidden="1">
      <c r="A275" s="22">
        <f t="shared" si="27"/>
        <v>255</v>
      </c>
      <c r="B275" s="148">
        <f t="shared" si="28"/>
        <v>0</v>
      </c>
      <c r="C275" s="131">
        <f t="shared" si="22"/>
        <v>0</v>
      </c>
      <c r="D275" s="131">
        <f t="shared" si="23"/>
        <v>0</v>
      </c>
      <c r="E275" s="131">
        <f t="shared" si="24"/>
        <v>0</v>
      </c>
      <c r="F275" s="148">
        <f t="shared" si="25"/>
        <v>0</v>
      </c>
      <c r="G275" s="132">
        <f t="shared" si="26"/>
        <v>0</v>
      </c>
    </row>
    <row r="276" spans="1:7" ht="12.75" hidden="1">
      <c r="A276" s="22">
        <f t="shared" si="27"/>
        <v>256</v>
      </c>
      <c r="B276" s="148">
        <f t="shared" si="28"/>
        <v>0</v>
      </c>
      <c r="C276" s="131">
        <f t="shared" si="22"/>
        <v>0</v>
      </c>
      <c r="D276" s="131">
        <f t="shared" si="23"/>
        <v>0</v>
      </c>
      <c r="E276" s="131">
        <f t="shared" si="24"/>
        <v>0</v>
      </c>
      <c r="F276" s="148">
        <f t="shared" si="25"/>
        <v>0</v>
      </c>
      <c r="G276" s="132">
        <f t="shared" si="26"/>
        <v>0</v>
      </c>
    </row>
    <row r="277" spans="1:7" ht="12.75" hidden="1">
      <c r="A277" s="22">
        <f t="shared" si="27"/>
        <v>257</v>
      </c>
      <c r="B277" s="148">
        <f t="shared" si="28"/>
        <v>0</v>
      </c>
      <c r="C277" s="131">
        <f aca="true" t="shared" si="29" ref="C277:C340">IF(A277&lt;=$D$10,D277+$D$13,0)</f>
        <v>0</v>
      </c>
      <c r="D277" s="131">
        <f aca="true" t="shared" si="30" ref="D277:D340">E277+F277</f>
        <v>0</v>
      </c>
      <c r="E277" s="131">
        <f aca="true" t="shared" si="31" ref="E277:E340">B277*$D$11</f>
        <v>0</v>
      </c>
      <c r="F277" s="148">
        <f aca="true" t="shared" si="32" ref="F277:F340">IF(A277&lt;=$D$10,$D$12*-1,0)</f>
        <v>0</v>
      </c>
      <c r="G277" s="132">
        <f aca="true" t="shared" si="33" ref="G277:G340">B277-F277</f>
        <v>0</v>
      </c>
    </row>
    <row r="278" spans="1:7" ht="12.75" hidden="1">
      <c r="A278" s="22">
        <f aca="true" t="shared" si="34" ref="A278:A341">A277+1</f>
        <v>258</v>
      </c>
      <c r="B278" s="148">
        <f aca="true" t="shared" si="35" ref="B278:B341">B277-F277</f>
        <v>0</v>
      </c>
      <c r="C278" s="131">
        <f t="shared" si="29"/>
        <v>0</v>
      </c>
      <c r="D278" s="131">
        <f t="shared" si="30"/>
        <v>0</v>
      </c>
      <c r="E278" s="131">
        <f t="shared" si="31"/>
        <v>0</v>
      </c>
      <c r="F278" s="148">
        <f t="shared" si="32"/>
        <v>0</v>
      </c>
      <c r="G278" s="132">
        <f t="shared" si="33"/>
        <v>0</v>
      </c>
    </row>
    <row r="279" spans="1:7" ht="12.75" hidden="1">
      <c r="A279" s="22">
        <f t="shared" si="34"/>
        <v>259</v>
      </c>
      <c r="B279" s="148">
        <f t="shared" si="35"/>
        <v>0</v>
      </c>
      <c r="C279" s="131">
        <f t="shared" si="29"/>
        <v>0</v>
      </c>
      <c r="D279" s="131">
        <f t="shared" si="30"/>
        <v>0</v>
      </c>
      <c r="E279" s="131">
        <f t="shared" si="31"/>
        <v>0</v>
      </c>
      <c r="F279" s="148">
        <f t="shared" si="32"/>
        <v>0</v>
      </c>
      <c r="G279" s="132">
        <f t="shared" si="33"/>
        <v>0</v>
      </c>
    </row>
    <row r="280" spans="1:7" ht="12.75" hidden="1">
      <c r="A280" s="22">
        <f t="shared" si="34"/>
        <v>260</v>
      </c>
      <c r="B280" s="148">
        <f t="shared" si="35"/>
        <v>0</v>
      </c>
      <c r="C280" s="131">
        <f t="shared" si="29"/>
        <v>0</v>
      </c>
      <c r="D280" s="131">
        <f t="shared" si="30"/>
        <v>0</v>
      </c>
      <c r="E280" s="131">
        <f t="shared" si="31"/>
        <v>0</v>
      </c>
      <c r="F280" s="148">
        <f t="shared" si="32"/>
        <v>0</v>
      </c>
      <c r="G280" s="132">
        <f t="shared" si="33"/>
        <v>0</v>
      </c>
    </row>
    <row r="281" spans="1:7" ht="12.75" hidden="1">
      <c r="A281" s="22">
        <f t="shared" si="34"/>
        <v>261</v>
      </c>
      <c r="B281" s="148">
        <f t="shared" si="35"/>
        <v>0</v>
      </c>
      <c r="C281" s="131">
        <f t="shared" si="29"/>
        <v>0</v>
      </c>
      <c r="D281" s="131">
        <f t="shared" si="30"/>
        <v>0</v>
      </c>
      <c r="E281" s="131">
        <f t="shared" si="31"/>
        <v>0</v>
      </c>
      <c r="F281" s="148">
        <f t="shared" si="32"/>
        <v>0</v>
      </c>
      <c r="G281" s="132">
        <f t="shared" si="33"/>
        <v>0</v>
      </c>
    </row>
    <row r="282" spans="1:7" ht="12.75" hidden="1">
      <c r="A282" s="22">
        <f t="shared" si="34"/>
        <v>262</v>
      </c>
      <c r="B282" s="148">
        <f t="shared" si="35"/>
        <v>0</v>
      </c>
      <c r="C282" s="131">
        <f t="shared" si="29"/>
        <v>0</v>
      </c>
      <c r="D282" s="131">
        <f t="shared" si="30"/>
        <v>0</v>
      </c>
      <c r="E282" s="131">
        <f t="shared" si="31"/>
        <v>0</v>
      </c>
      <c r="F282" s="148">
        <f t="shared" si="32"/>
        <v>0</v>
      </c>
      <c r="G282" s="132">
        <f t="shared" si="33"/>
        <v>0</v>
      </c>
    </row>
    <row r="283" spans="1:7" ht="12.75" hidden="1">
      <c r="A283" s="22">
        <f t="shared" si="34"/>
        <v>263</v>
      </c>
      <c r="B283" s="148">
        <f t="shared" si="35"/>
        <v>0</v>
      </c>
      <c r="C283" s="131">
        <f t="shared" si="29"/>
        <v>0</v>
      </c>
      <c r="D283" s="131">
        <f t="shared" si="30"/>
        <v>0</v>
      </c>
      <c r="E283" s="131">
        <f t="shared" si="31"/>
        <v>0</v>
      </c>
      <c r="F283" s="148">
        <f t="shared" si="32"/>
        <v>0</v>
      </c>
      <c r="G283" s="132">
        <f t="shared" si="33"/>
        <v>0</v>
      </c>
    </row>
    <row r="284" spans="1:7" ht="12.75" hidden="1">
      <c r="A284" s="22">
        <f t="shared" si="34"/>
        <v>264</v>
      </c>
      <c r="B284" s="148">
        <f t="shared" si="35"/>
        <v>0</v>
      </c>
      <c r="C284" s="131">
        <f t="shared" si="29"/>
        <v>0</v>
      </c>
      <c r="D284" s="131">
        <f t="shared" si="30"/>
        <v>0</v>
      </c>
      <c r="E284" s="131">
        <f t="shared" si="31"/>
        <v>0</v>
      </c>
      <c r="F284" s="148">
        <f t="shared" si="32"/>
        <v>0</v>
      </c>
      <c r="G284" s="132">
        <f t="shared" si="33"/>
        <v>0</v>
      </c>
    </row>
    <row r="285" spans="1:7" ht="12.75" hidden="1">
      <c r="A285" s="22">
        <f t="shared" si="34"/>
        <v>265</v>
      </c>
      <c r="B285" s="148">
        <f t="shared" si="35"/>
        <v>0</v>
      </c>
      <c r="C285" s="131">
        <f t="shared" si="29"/>
        <v>0</v>
      </c>
      <c r="D285" s="131">
        <f t="shared" si="30"/>
        <v>0</v>
      </c>
      <c r="E285" s="131">
        <f t="shared" si="31"/>
        <v>0</v>
      </c>
      <c r="F285" s="148">
        <f t="shared" si="32"/>
        <v>0</v>
      </c>
      <c r="G285" s="132">
        <f t="shared" si="33"/>
        <v>0</v>
      </c>
    </row>
    <row r="286" spans="1:7" ht="12.75" hidden="1">
      <c r="A286" s="22">
        <f t="shared" si="34"/>
        <v>266</v>
      </c>
      <c r="B286" s="148">
        <f t="shared" si="35"/>
        <v>0</v>
      </c>
      <c r="C286" s="131">
        <f t="shared" si="29"/>
        <v>0</v>
      </c>
      <c r="D286" s="131">
        <f t="shared" si="30"/>
        <v>0</v>
      </c>
      <c r="E286" s="131">
        <f t="shared" si="31"/>
        <v>0</v>
      </c>
      <c r="F286" s="148">
        <f t="shared" si="32"/>
        <v>0</v>
      </c>
      <c r="G286" s="132">
        <f t="shared" si="33"/>
        <v>0</v>
      </c>
    </row>
    <row r="287" spans="1:7" ht="12.75" hidden="1">
      <c r="A287" s="22">
        <f t="shared" si="34"/>
        <v>267</v>
      </c>
      <c r="B287" s="148">
        <f t="shared" si="35"/>
        <v>0</v>
      </c>
      <c r="C287" s="131">
        <f t="shared" si="29"/>
        <v>0</v>
      </c>
      <c r="D287" s="131">
        <f t="shared" si="30"/>
        <v>0</v>
      </c>
      <c r="E287" s="131">
        <f t="shared" si="31"/>
        <v>0</v>
      </c>
      <c r="F287" s="148">
        <f t="shared" si="32"/>
        <v>0</v>
      </c>
      <c r="G287" s="132">
        <f t="shared" si="33"/>
        <v>0</v>
      </c>
    </row>
    <row r="288" spans="1:7" ht="12.75" hidden="1">
      <c r="A288" s="22">
        <f t="shared" si="34"/>
        <v>268</v>
      </c>
      <c r="B288" s="148">
        <f t="shared" si="35"/>
        <v>0</v>
      </c>
      <c r="C288" s="131">
        <f t="shared" si="29"/>
        <v>0</v>
      </c>
      <c r="D288" s="131">
        <f t="shared" si="30"/>
        <v>0</v>
      </c>
      <c r="E288" s="131">
        <f t="shared" si="31"/>
        <v>0</v>
      </c>
      <c r="F288" s="148">
        <f t="shared" si="32"/>
        <v>0</v>
      </c>
      <c r="G288" s="132">
        <f t="shared" si="33"/>
        <v>0</v>
      </c>
    </row>
    <row r="289" spans="1:7" ht="12.75" hidden="1">
      <c r="A289" s="22">
        <f t="shared" si="34"/>
        <v>269</v>
      </c>
      <c r="B289" s="148">
        <f t="shared" si="35"/>
        <v>0</v>
      </c>
      <c r="C289" s="131">
        <f t="shared" si="29"/>
        <v>0</v>
      </c>
      <c r="D289" s="131">
        <f t="shared" si="30"/>
        <v>0</v>
      </c>
      <c r="E289" s="131">
        <f t="shared" si="31"/>
        <v>0</v>
      </c>
      <c r="F289" s="148">
        <f t="shared" si="32"/>
        <v>0</v>
      </c>
      <c r="G289" s="132">
        <f t="shared" si="33"/>
        <v>0</v>
      </c>
    </row>
    <row r="290" spans="1:7" ht="12.75" hidden="1">
      <c r="A290" s="22">
        <f t="shared" si="34"/>
        <v>270</v>
      </c>
      <c r="B290" s="148">
        <f t="shared" si="35"/>
        <v>0</v>
      </c>
      <c r="C290" s="131">
        <f t="shared" si="29"/>
        <v>0</v>
      </c>
      <c r="D290" s="131">
        <f t="shared" si="30"/>
        <v>0</v>
      </c>
      <c r="E290" s="131">
        <f t="shared" si="31"/>
        <v>0</v>
      </c>
      <c r="F290" s="148">
        <f t="shared" si="32"/>
        <v>0</v>
      </c>
      <c r="G290" s="132">
        <f t="shared" si="33"/>
        <v>0</v>
      </c>
    </row>
    <row r="291" spans="1:7" ht="12.75" hidden="1">
      <c r="A291" s="22">
        <f t="shared" si="34"/>
        <v>271</v>
      </c>
      <c r="B291" s="148">
        <f t="shared" si="35"/>
        <v>0</v>
      </c>
      <c r="C291" s="131">
        <f t="shared" si="29"/>
        <v>0</v>
      </c>
      <c r="D291" s="131">
        <f t="shared" si="30"/>
        <v>0</v>
      </c>
      <c r="E291" s="131">
        <f t="shared" si="31"/>
        <v>0</v>
      </c>
      <c r="F291" s="148">
        <f t="shared" si="32"/>
        <v>0</v>
      </c>
      <c r="G291" s="132">
        <f t="shared" si="33"/>
        <v>0</v>
      </c>
    </row>
    <row r="292" spans="1:7" ht="12.75" hidden="1">
      <c r="A292" s="22">
        <f t="shared" si="34"/>
        <v>272</v>
      </c>
      <c r="B292" s="148">
        <f t="shared" si="35"/>
        <v>0</v>
      </c>
      <c r="C292" s="131">
        <f t="shared" si="29"/>
        <v>0</v>
      </c>
      <c r="D292" s="131">
        <f t="shared" si="30"/>
        <v>0</v>
      </c>
      <c r="E292" s="131">
        <f t="shared" si="31"/>
        <v>0</v>
      </c>
      <c r="F292" s="148">
        <f t="shared" si="32"/>
        <v>0</v>
      </c>
      <c r="G292" s="132">
        <f t="shared" si="33"/>
        <v>0</v>
      </c>
    </row>
    <row r="293" spans="1:7" ht="12.75" hidden="1">
      <c r="A293" s="22">
        <f t="shared" si="34"/>
        <v>273</v>
      </c>
      <c r="B293" s="148">
        <f t="shared" si="35"/>
        <v>0</v>
      </c>
      <c r="C293" s="131">
        <f t="shared" si="29"/>
        <v>0</v>
      </c>
      <c r="D293" s="131">
        <f t="shared" si="30"/>
        <v>0</v>
      </c>
      <c r="E293" s="131">
        <f t="shared" si="31"/>
        <v>0</v>
      </c>
      <c r="F293" s="148">
        <f t="shared" si="32"/>
        <v>0</v>
      </c>
      <c r="G293" s="132">
        <f t="shared" si="33"/>
        <v>0</v>
      </c>
    </row>
    <row r="294" spans="1:7" ht="12.75" hidden="1">
      <c r="A294" s="22">
        <f t="shared" si="34"/>
        <v>274</v>
      </c>
      <c r="B294" s="148">
        <f t="shared" si="35"/>
        <v>0</v>
      </c>
      <c r="C294" s="131">
        <f t="shared" si="29"/>
        <v>0</v>
      </c>
      <c r="D294" s="131">
        <f t="shared" si="30"/>
        <v>0</v>
      </c>
      <c r="E294" s="131">
        <f t="shared" si="31"/>
        <v>0</v>
      </c>
      <c r="F294" s="148">
        <f t="shared" si="32"/>
        <v>0</v>
      </c>
      <c r="G294" s="132">
        <f t="shared" si="33"/>
        <v>0</v>
      </c>
    </row>
    <row r="295" spans="1:7" ht="12.75" hidden="1">
      <c r="A295" s="22">
        <f t="shared" si="34"/>
        <v>275</v>
      </c>
      <c r="B295" s="148">
        <f t="shared" si="35"/>
        <v>0</v>
      </c>
      <c r="C295" s="131">
        <f t="shared" si="29"/>
        <v>0</v>
      </c>
      <c r="D295" s="131">
        <f t="shared" si="30"/>
        <v>0</v>
      </c>
      <c r="E295" s="131">
        <f t="shared" si="31"/>
        <v>0</v>
      </c>
      <c r="F295" s="148">
        <f t="shared" si="32"/>
        <v>0</v>
      </c>
      <c r="G295" s="132">
        <f t="shared" si="33"/>
        <v>0</v>
      </c>
    </row>
    <row r="296" spans="1:7" ht="12.75" hidden="1">
      <c r="A296" s="22">
        <f t="shared" si="34"/>
        <v>276</v>
      </c>
      <c r="B296" s="148">
        <f t="shared" si="35"/>
        <v>0</v>
      </c>
      <c r="C296" s="131">
        <f t="shared" si="29"/>
        <v>0</v>
      </c>
      <c r="D296" s="131">
        <f t="shared" si="30"/>
        <v>0</v>
      </c>
      <c r="E296" s="131">
        <f t="shared" si="31"/>
        <v>0</v>
      </c>
      <c r="F296" s="148">
        <f t="shared" si="32"/>
        <v>0</v>
      </c>
      <c r="G296" s="132">
        <f t="shared" si="33"/>
        <v>0</v>
      </c>
    </row>
    <row r="297" spans="1:7" ht="12.75" hidden="1">
      <c r="A297" s="22">
        <f t="shared" si="34"/>
        <v>277</v>
      </c>
      <c r="B297" s="148">
        <f t="shared" si="35"/>
        <v>0</v>
      </c>
      <c r="C297" s="131">
        <f t="shared" si="29"/>
        <v>0</v>
      </c>
      <c r="D297" s="131">
        <f t="shared" si="30"/>
        <v>0</v>
      </c>
      <c r="E297" s="131">
        <f t="shared" si="31"/>
        <v>0</v>
      </c>
      <c r="F297" s="148">
        <f t="shared" si="32"/>
        <v>0</v>
      </c>
      <c r="G297" s="132">
        <f t="shared" si="33"/>
        <v>0</v>
      </c>
    </row>
    <row r="298" spans="1:7" ht="12.75" hidden="1">
      <c r="A298" s="22">
        <f t="shared" si="34"/>
        <v>278</v>
      </c>
      <c r="B298" s="148">
        <f t="shared" si="35"/>
        <v>0</v>
      </c>
      <c r="C298" s="131">
        <f t="shared" si="29"/>
        <v>0</v>
      </c>
      <c r="D298" s="131">
        <f t="shared" si="30"/>
        <v>0</v>
      </c>
      <c r="E298" s="131">
        <f t="shared" si="31"/>
        <v>0</v>
      </c>
      <c r="F298" s="148">
        <f t="shared" si="32"/>
        <v>0</v>
      </c>
      <c r="G298" s="132">
        <f t="shared" si="33"/>
        <v>0</v>
      </c>
    </row>
    <row r="299" spans="1:7" ht="12.75" hidden="1">
      <c r="A299" s="22">
        <f t="shared" si="34"/>
        <v>279</v>
      </c>
      <c r="B299" s="148">
        <f t="shared" si="35"/>
        <v>0</v>
      </c>
      <c r="C299" s="131">
        <f t="shared" si="29"/>
        <v>0</v>
      </c>
      <c r="D299" s="131">
        <f t="shared" si="30"/>
        <v>0</v>
      </c>
      <c r="E299" s="131">
        <f t="shared" si="31"/>
        <v>0</v>
      </c>
      <c r="F299" s="148">
        <f t="shared" si="32"/>
        <v>0</v>
      </c>
      <c r="G299" s="132">
        <f t="shared" si="33"/>
        <v>0</v>
      </c>
    </row>
    <row r="300" spans="1:7" ht="12.75" hidden="1">
      <c r="A300" s="22">
        <f t="shared" si="34"/>
        <v>280</v>
      </c>
      <c r="B300" s="148">
        <f t="shared" si="35"/>
        <v>0</v>
      </c>
      <c r="C300" s="131">
        <f t="shared" si="29"/>
        <v>0</v>
      </c>
      <c r="D300" s="131">
        <f t="shared" si="30"/>
        <v>0</v>
      </c>
      <c r="E300" s="131">
        <f t="shared" si="31"/>
        <v>0</v>
      </c>
      <c r="F300" s="148">
        <f t="shared" si="32"/>
        <v>0</v>
      </c>
      <c r="G300" s="132">
        <f t="shared" si="33"/>
        <v>0</v>
      </c>
    </row>
    <row r="301" spans="1:7" ht="12.75" hidden="1">
      <c r="A301" s="22">
        <f t="shared" si="34"/>
        <v>281</v>
      </c>
      <c r="B301" s="148">
        <f t="shared" si="35"/>
        <v>0</v>
      </c>
      <c r="C301" s="131">
        <f t="shared" si="29"/>
        <v>0</v>
      </c>
      <c r="D301" s="131">
        <f t="shared" si="30"/>
        <v>0</v>
      </c>
      <c r="E301" s="131">
        <f t="shared" si="31"/>
        <v>0</v>
      </c>
      <c r="F301" s="148">
        <f t="shared" si="32"/>
        <v>0</v>
      </c>
      <c r="G301" s="132">
        <f t="shared" si="33"/>
        <v>0</v>
      </c>
    </row>
    <row r="302" spans="1:7" ht="12.75" hidden="1">
      <c r="A302" s="22">
        <f t="shared" si="34"/>
        <v>282</v>
      </c>
      <c r="B302" s="148">
        <f t="shared" si="35"/>
        <v>0</v>
      </c>
      <c r="C302" s="131">
        <f t="shared" si="29"/>
        <v>0</v>
      </c>
      <c r="D302" s="131">
        <f t="shared" si="30"/>
        <v>0</v>
      </c>
      <c r="E302" s="131">
        <f t="shared" si="31"/>
        <v>0</v>
      </c>
      <c r="F302" s="148">
        <f t="shared" si="32"/>
        <v>0</v>
      </c>
      <c r="G302" s="132">
        <f t="shared" si="33"/>
        <v>0</v>
      </c>
    </row>
    <row r="303" spans="1:7" ht="12.75" hidden="1">
      <c r="A303" s="22">
        <f t="shared" si="34"/>
        <v>283</v>
      </c>
      <c r="B303" s="148">
        <f t="shared" si="35"/>
        <v>0</v>
      </c>
      <c r="C303" s="131">
        <f t="shared" si="29"/>
        <v>0</v>
      </c>
      <c r="D303" s="131">
        <f t="shared" si="30"/>
        <v>0</v>
      </c>
      <c r="E303" s="131">
        <f t="shared" si="31"/>
        <v>0</v>
      </c>
      <c r="F303" s="148">
        <f t="shared" si="32"/>
        <v>0</v>
      </c>
      <c r="G303" s="132">
        <f t="shared" si="33"/>
        <v>0</v>
      </c>
    </row>
    <row r="304" spans="1:7" ht="12.75" hidden="1">
      <c r="A304" s="22">
        <f t="shared" si="34"/>
        <v>284</v>
      </c>
      <c r="B304" s="148">
        <f t="shared" si="35"/>
        <v>0</v>
      </c>
      <c r="C304" s="131">
        <f t="shared" si="29"/>
        <v>0</v>
      </c>
      <c r="D304" s="131">
        <f t="shared" si="30"/>
        <v>0</v>
      </c>
      <c r="E304" s="131">
        <f t="shared" si="31"/>
        <v>0</v>
      </c>
      <c r="F304" s="148">
        <f t="shared" si="32"/>
        <v>0</v>
      </c>
      <c r="G304" s="132">
        <f t="shared" si="33"/>
        <v>0</v>
      </c>
    </row>
    <row r="305" spans="1:7" ht="12.75" hidden="1">
      <c r="A305" s="22">
        <f t="shared" si="34"/>
        <v>285</v>
      </c>
      <c r="B305" s="148">
        <f t="shared" si="35"/>
        <v>0</v>
      </c>
      <c r="C305" s="131">
        <f t="shared" si="29"/>
        <v>0</v>
      </c>
      <c r="D305" s="131">
        <f t="shared" si="30"/>
        <v>0</v>
      </c>
      <c r="E305" s="131">
        <f t="shared" si="31"/>
        <v>0</v>
      </c>
      <c r="F305" s="148">
        <f t="shared" si="32"/>
        <v>0</v>
      </c>
      <c r="G305" s="132">
        <f t="shared" si="33"/>
        <v>0</v>
      </c>
    </row>
    <row r="306" spans="1:7" ht="12.75" hidden="1">
      <c r="A306" s="22">
        <f t="shared" si="34"/>
        <v>286</v>
      </c>
      <c r="B306" s="148">
        <f t="shared" si="35"/>
        <v>0</v>
      </c>
      <c r="C306" s="131">
        <f t="shared" si="29"/>
        <v>0</v>
      </c>
      <c r="D306" s="131">
        <f t="shared" si="30"/>
        <v>0</v>
      </c>
      <c r="E306" s="131">
        <f t="shared" si="31"/>
        <v>0</v>
      </c>
      <c r="F306" s="148">
        <f t="shared" si="32"/>
        <v>0</v>
      </c>
      <c r="G306" s="132">
        <f t="shared" si="33"/>
        <v>0</v>
      </c>
    </row>
    <row r="307" spans="1:7" ht="12.75" hidden="1">
      <c r="A307" s="22">
        <f t="shared" si="34"/>
        <v>287</v>
      </c>
      <c r="B307" s="148">
        <f t="shared" si="35"/>
        <v>0</v>
      </c>
      <c r="C307" s="131">
        <f t="shared" si="29"/>
        <v>0</v>
      </c>
      <c r="D307" s="131">
        <f t="shared" si="30"/>
        <v>0</v>
      </c>
      <c r="E307" s="131">
        <f t="shared" si="31"/>
        <v>0</v>
      </c>
      <c r="F307" s="148">
        <f t="shared" si="32"/>
        <v>0</v>
      </c>
      <c r="G307" s="132">
        <f t="shared" si="33"/>
        <v>0</v>
      </c>
    </row>
    <row r="308" spans="1:7" ht="12.75" hidden="1">
      <c r="A308" s="22">
        <f t="shared" si="34"/>
        <v>288</v>
      </c>
      <c r="B308" s="148">
        <f t="shared" si="35"/>
        <v>0</v>
      </c>
      <c r="C308" s="131">
        <f t="shared" si="29"/>
        <v>0</v>
      </c>
      <c r="D308" s="131">
        <f t="shared" si="30"/>
        <v>0</v>
      </c>
      <c r="E308" s="131">
        <f t="shared" si="31"/>
        <v>0</v>
      </c>
      <c r="F308" s="148">
        <f t="shared" si="32"/>
        <v>0</v>
      </c>
      <c r="G308" s="132">
        <f t="shared" si="33"/>
        <v>0</v>
      </c>
    </row>
    <row r="309" spans="1:7" ht="12.75" hidden="1">
      <c r="A309" s="22">
        <f t="shared" si="34"/>
        <v>289</v>
      </c>
      <c r="B309" s="148">
        <f t="shared" si="35"/>
        <v>0</v>
      </c>
      <c r="C309" s="131">
        <f t="shared" si="29"/>
        <v>0</v>
      </c>
      <c r="D309" s="131">
        <f t="shared" si="30"/>
        <v>0</v>
      </c>
      <c r="E309" s="131">
        <f t="shared" si="31"/>
        <v>0</v>
      </c>
      <c r="F309" s="148">
        <f t="shared" si="32"/>
        <v>0</v>
      </c>
      <c r="G309" s="132">
        <f t="shared" si="33"/>
        <v>0</v>
      </c>
    </row>
    <row r="310" spans="1:7" ht="12.75" hidden="1">
      <c r="A310" s="22">
        <f t="shared" si="34"/>
        <v>290</v>
      </c>
      <c r="B310" s="148">
        <f t="shared" si="35"/>
        <v>0</v>
      </c>
      <c r="C310" s="131">
        <f t="shared" si="29"/>
        <v>0</v>
      </c>
      <c r="D310" s="131">
        <f t="shared" si="30"/>
        <v>0</v>
      </c>
      <c r="E310" s="131">
        <f t="shared" si="31"/>
        <v>0</v>
      </c>
      <c r="F310" s="148">
        <f t="shared" si="32"/>
        <v>0</v>
      </c>
      <c r="G310" s="132">
        <f t="shared" si="33"/>
        <v>0</v>
      </c>
    </row>
    <row r="311" spans="1:7" ht="12.75" hidden="1">
      <c r="A311" s="22">
        <f t="shared" si="34"/>
        <v>291</v>
      </c>
      <c r="B311" s="148">
        <f t="shared" si="35"/>
        <v>0</v>
      </c>
      <c r="C311" s="131">
        <f t="shared" si="29"/>
        <v>0</v>
      </c>
      <c r="D311" s="131">
        <f t="shared" si="30"/>
        <v>0</v>
      </c>
      <c r="E311" s="131">
        <f t="shared" si="31"/>
        <v>0</v>
      </c>
      <c r="F311" s="148">
        <f t="shared" si="32"/>
        <v>0</v>
      </c>
      <c r="G311" s="132">
        <f t="shared" si="33"/>
        <v>0</v>
      </c>
    </row>
    <row r="312" spans="1:7" ht="12.75" hidden="1">
      <c r="A312" s="22">
        <f t="shared" si="34"/>
        <v>292</v>
      </c>
      <c r="B312" s="148">
        <f t="shared" si="35"/>
        <v>0</v>
      </c>
      <c r="C312" s="131">
        <f t="shared" si="29"/>
        <v>0</v>
      </c>
      <c r="D312" s="131">
        <f t="shared" si="30"/>
        <v>0</v>
      </c>
      <c r="E312" s="131">
        <f t="shared" si="31"/>
        <v>0</v>
      </c>
      <c r="F312" s="148">
        <f t="shared" si="32"/>
        <v>0</v>
      </c>
      <c r="G312" s="132">
        <f t="shared" si="33"/>
        <v>0</v>
      </c>
    </row>
    <row r="313" spans="1:7" ht="12.75" hidden="1">
      <c r="A313" s="22">
        <f t="shared" si="34"/>
        <v>293</v>
      </c>
      <c r="B313" s="148">
        <f t="shared" si="35"/>
        <v>0</v>
      </c>
      <c r="C313" s="131">
        <f t="shared" si="29"/>
        <v>0</v>
      </c>
      <c r="D313" s="131">
        <f t="shared" si="30"/>
        <v>0</v>
      </c>
      <c r="E313" s="131">
        <f t="shared" si="31"/>
        <v>0</v>
      </c>
      <c r="F313" s="148">
        <f t="shared" si="32"/>
        <v>0</v>
      </c>
      <c r="G313" s="132">
        <f t="shared" si="33"/>
        <v>0</v>
      </c>
    </row>
    <row r="314" spans="1:7" ht="12.75" hidden="1">
      <c r="A314" s="22">
        <f t="shared" si="34"/>
        <v>294</v>
      </c>
      <c r="B314" s="148">
        <f t="shared" si="35"/>
        <v>0</v>
      </c>
      <c r="C314" s="131">
        <f t="shared" si="29"/>
        <v>0</v>
      </c>
      <c r="D314" s="131">
        <f t="shared" si="30"/>
        <v>0</v>
      </c>
      <c r="E314" s="131">
        <f t="shared" si="31"/>
        <v>0</v>
      </c>
      <c r="F314" s="148">
        <f t="shared" si="32"/>
        <v>0</v>
      </c>
      <c r="G314" s="132">
        <f t="shared" si="33"/>
        <v>0</v>
      </c>
    </row>
    <row r="315" spans="1:7" ht="12.75" hidden="1">
      <c r="A315" s="22">
        <f t="shared" si="34"/>
        <v>295</v>
      </c>
      <c r="B315" s="148">
        <f t="shared" si="35"/>
        <v>0</v>
      </c>
      <c r="C315" s="131">
        <f t="shared" si="29"/>
        <v>0</v>
      </c>
      <c r="D315" s="131">
        <f t="shared" si="30"/>
        <v>0</v>
      </c>
      <c r="E315" s="131">
        <f t="shared" si="31"/>
        <v>0</v>
      </c>
      <c r="F315" s="148">
        <f t="shared" si="32"/>
        <v>0</v>
      </c>
      <c r="G315" s="132">
        <f t="shared" si="33"/>
        <v>0</v>
      </c>
    </row>
    <row r="316" spans="1:7" ht="12.75" hidden="1">
      <c r="A316" s="22">
        <f t="shared" si="34"/>
        <v>296</v>
      </c>
      <c r="B316" s="148">
        <f t="shared" si="35"/>
        <v>0</v>
      </c>
      <c r="C316" s="131">
        <f t="shared" si="29"/>
        <v>0</v>
      </c>
      <c r="D316" s="131">
        <f t="shared" si="30"/>
        <v>0</v>
      </c>
      <c r="E316" s="131">
        <f t="shared" si="31"/>
        <v>0</v>
      </c>
      <c r="F316" s="148">
        <f t="shared" si="32"/>
        <v>0</v>
      </c>
      <c r="G316" s="132">
        <f t="shared" si="33"/>
        <v>0</v>
      </c>
    </row>
    <row r="317" spans="1:7" ht="12.75" hidden="1">
      <c r="A317" s="22">
        <f t="shared" si="34"/>
        <v>297</v>
      </c>
      <c r="B317" s="148">
        <f t="shared" si="35"/>
        <v>0</v>
      </c>
      <c r="C317" s="131">
        <f t="shared" si="29"/>
        <v>0</v>
      </c>
      <c r="D317" s="131">
        <f t="shared" si="30"/>
        <v>0</v>
      </c>
      <c r="E317" s="131">
        <f t="shared" si="31"/>
        <v>0</v>
      </c>
      <c r="F317" s="148">
        <f t="shared" si="32"/>
        <v>0</v>
      </c>
      <c r="G317" s="132">
        <f t="shared" si="33"/>
        <v>0</v>
      </c>
    </row>
    <row r="318" spans="1:7" ht="12.75" hidden="1">
      <c r="A318" s="22">
        <f t="shared" si="34"/>
        <v>298</v>
      </c>
      <c r="B318" s="148">
        <f t="shared" si="35"/>
        <v>0</v>
      </c>
      <c r="C318" s="131">
        <f t="shared" si="29"/>
        <v>0</v>
      </c>
      <c r="D318" s="131">
        <f t="shared" si="30"/>
        <v>0</v>
      </c>
      <c r="E318" s="131">
        <f t="shared" si="31"/>
        <v>0</v>
      </c>
      <c r="F318" s="148">
        <f t="shared" si="32"/>
        <v>0</v>
      </c>
      <c r="G318" s="132">
        <f t="shared" si="33"/>
        <v>0</v>
      </c>
    </row>
    <row r="319" spans="1:7" ht="12.75" hidden="1">
      <c r="A319" s="22">
        <f t="shared" si="34"/>
        <v>299</v>
      </c>
      <c r="B319" s="148">
        <f t="shared" si="35"/>
        <v>0</v>
      </c>
      <c r="C319" s="131">
        <f t="shared" si="29"/>
        <v>0</v>
      </c>
      <c r="D319" s="131">
        <f t="shared" si="30"/>
        <v>0</v>
      </c>
      <c r="E319" s="131">
        <f t="shared" si="31"/>
        <v>0</v>
      </c>
      <c r="F319" s="148">
        <f t="shared" si="32"/>
        <v>0</v>
      </c>
      <c r="G319" s="132">
        <f t="shared" si="33"/>
        <v>0</v>
      </c>
    </row>
    <row r="320" spans="1:7" ht="12.75" hidden="1">
      <c r="A320" s="22">
        <f t="shared" si="34"/>
        <v>300</v>
      </c>
      <c r="B320" s="148">
        <f t="shared" si="35"/>
        <v>0</v>
      </c>
      <c r="C320" s="131">
        <f t="shared" si="29"/>
        <v>0</v>
      </c>
      <c r="D320" s="131">
        <f t="shared" si="30"/>
        <v>0</v>
      </c>
      <c r="E320" s="131">
        <f t="shared" si="31"/>
        <v>0</v>
      </c>
      <c r="F320" s="148">
        <f t="shared" si="32"/>
        <v>0</v>
      </c>
      <c r="G320" s="132">
        <f t="shared" si="33"/>
        <v>0</v>
      </c>
    </row>
    <row r="321" spans="1:7" ht="12.75" hidden="1">
      <c r="A321" s="22">
        <f t="shared" si="34"/>
        <v>301</v>
      </c>
      <c r="B321" s="148">
        <f t="shared" si="35"/>
        <v>0</v>
      </c>
      <c r="C321" s="131">
        <f t="shared" si="29"/>
        <v>0</v>
      </c>
      <c r="D321" s="131">
        <f t="shared" si="30"/>
        <v>0</v>
      </c>
      <c r="E321" s="131">
        <f t="shared" si="31"/>
        <v>0</v>
      </c>
      <c r="F321" s="148">
        <f t="shared" si="32"/>
        <v>0</v>
      </c>
      <c r="G321" s="132">
        <f t="shared" si="33"/>
        <v>0</v>
      </c>
    </row>
    <row r="322" spans="1:7" ht="12.75" hidden="1">
      <c r="A322" s="22">
        <f t="shared" si="34"/>
        <v>302</v>
      </c>
      <c r="B322" s="148">
        <f t="shared" si="35"/>
        <v>0</v>
      </c>
      <c r="C322" s="131">
        <f t="shared" si="29"/>
        <v>0</v>
      </c>
      <c r="D322" s="131">
        <f t="shared" si="30"/>
        <v>0</v>
      </c>
      <c r="E322" s="131">
        <f t="shared" si="31"/>
        <v>0</v>
      </c>
      <c r="F322" s="148">
        <f t="shared" si="32"/>
        <v>0</v>
      </c>
      <c r="G322" s="132">
        <f t="shared" si="33"/>
        <v>0</v>
      </c>
    </row>
    <row r="323" spans="1:7" ht="12.75" hidden="1">
      <c r="A323" s="22">
        <f t="shared" si="34"/>
        <v>303</v>
      </c>
      <c r="B323" s="148">
        <f t="shared" si="35"/>
        <v>0</v>
      </c>
      <c r="C323" s="131">
        <f t="shared" si="29"/>
        <v>0</v>
      </c>
      <c r="D323" s="131">
        <f t="shared" si="30"/>
        <v>0</v>
      </c>
      <c r="E323" s="131">
        <f t="shared" si="31"/>
        <v>0</v>
      </c>
      <c r="F323" s="148">
        <f t="shared" si="32"/>
        <v>0</v>
      </c>
      <c r="G323" s="132">
        <f t="shared" si="33"/>
        <v>0</v>
      </c>
    </row>
    <row r="324" spans="1:7" ht="12.75" hidden="1">
      <c r="A324" s="22">
        <f t="shared" si="34"/>
        <v>304</v>
      </c>
      <c r="B324" s="148">
        <f t="shared" si="35"/>
        <v>0</v>
      </c>
      <c r="C324" s="131">
        <f t="shared" si="29"/>
        <v>0</v>
      </c>
      <c r="D324" s="131">
        <f t="shared" si="30"/>
        <v>0</v>
      </c>
      <c r="E324" s="131">
        <f t="shared" si="31"/>
        <v>0</v>
      </c>
      <c r="F324" s="148">
        <f t="shared" si="32"/>
        <v>0</v>
      </c>
      <c r="G324" s="132">
        <f t="shared" si="33"/>
        <v>0</v>
      </c>
    </row>
    <row r="325" spans="1:7" ht="12.75" hidden="1">
      <c r="A325" s="22">
        <f t="shared" si="34"/>
        <v>305</v>
      </c>
      <c r="B325" s="148">
        <f t="shared" si="35"/>
        <v>0</v>
      </c>
      <c r="C325" s="131">
        <f t="shared" si="29"/>
        <v>0</v>
      </c>
      <c r="D325" s="131">
        <f t="shared" si="30"/>
        <v>0</v>
      </c>
      <c r="E325" s="131">
        <f t="shared" si="31"/>
        <v>0</v>
      </c>
      <c r="F325" s="148">
        <f t="shared" si="32"/>
        <v>0</v>
      </c>
      <c r="G325" s="132">
        <f t="shared" si="33"/>
        <v>0</v>
      </c>
    </row>
    <row r="326" spans="1:7" ht="12.75" hidden="1">
      <c r="A326" s="22">
        <f t="shared" si="34"/>
        <v>306</v>
      </c>
      <c r="B326" s="148">
        <f t="shared" si="35"/>
        <v>0</v>
      </c>
      <c r="C326" s="131">
        <f t="shared" si="29"/>
        <v>0</v>
      </c>
      <c r="D326" s="131">
        <f t="shared" si="30"/>
        <v>0</v>
      </c>
      <c r="E326" s="131">
        <f t="shared" si="31"/>
        <v>0</v>
      </c>
      <c r="F326" s="148">
        <f t="shared" si="32"/>
        <v>0</v>
      </c>
      <c r="G326" s="132">
        <f t="shared" si="33"/>
        <v>0</v>
      </c>
    </row>
    <row r="327" spans="1:7" ht="12.75" hidden="1">
      <c r="A327" s="22">
        <f t="shared" si="34"/>
        <v>307</v>
      </c>
      <c r="B327" s="148">
        <f t="shared" si="35"/>
        <v>0</v>
      </c>
      <c r="C327" s="131">
        <f t="shared" si="29"/>
        <v>0</v>
      </c>
      <c r="D327" s="131">
        <f t="shared" si="30"/>
        <v>0</v>
      </c>
      <c r="E327" s="131">
        <f t="shared" si="31"/>
        <v>0</v>
      </c>
      <c r="F327" s="148">
        <f t="shared" si="32"/>
        <v>0</v>
      </c>
      <c r="G327" s="132">
        <f t="shared" si="33"/>
        <v>0</v>
      </c>
    </row>
    <row r="328" spans="1:7" ht="12.75" hidden="1">
      <c r="A328" s="22">
        <f t="shared" si="34"/>
        <v>308</v>
      </c>
      <c r="B328" s="148">
        <f t="shared" si="35"/>
        <v>0</v>
      </c>
      <c r="C328" s="131">
        <f t="shared" si="29"/>
        <v>0</v>
      </c>
      <c r="D328" s="131">
        <f t="shared" si="30"/>
        <v>0</v>
      </c>
      <c r="E328" s="131">
        <f t="shared" si="31"/>
        <v>0</v>
      </c>
      <c r="F328" s="148">
        <f t="shared" si="32"/>
        <v>0</v>
      </c>
      <c r="G328" s="132">
        <f t="shared" si="33"/>
        <v>0</v>
      </c>
    </row>
    <row r="329" spans="1:7" ht="12.75" hidden="1">
      <c r="A329" s="22">
        <f t="shared" si="34"/>
        <v>309</v>
      </c>
      <c r="B329" s="148">
        <f t="shared" si="35"/>
        <v>0</v>
      </c>
      <c r="C329" s="131">
        <f t="shared" si="29"/>
        <v>0</v>
      </c>
      <c r="D329" s="131">
        <f t="shared" si="30"/>
        <v>0</v>
      </c>
      <c r="E329" s="131">
        <f t="shared" si="31"/>
        <v>0</v>
      </c>
      <c r="F329" s="148">
        <f t="shared" si="32"/>
        <v>0</v>
      </c>
      <c r="G329" s="132">
        <f t="shared" si="33"/>
        <v>0</v>
      </c>
    </row>
    <row r="330" spans="1:7" ht="12.75" hidden="1">
      <c r="A330" s="22">
        <f t="shared" si="34"/>
        <v>310</v>
      </c>
      <c r="B330" s="148">
        <f t="shared" si="35"/>
        <v>0</v>
      </c>
      <c r="C330" s="131">
        <f t="shared" si="29"/>
        <v>0</v>
      </c>
      <c r="D330" s="131">
        <f t="shared" si="30"/>
        <v>0</v>
      </c>
      <c r="E330" s="131">
        <f t="shared" si="31"/>
        <v>0</v>
      </c>
      <c r="F330" s="148">
        <f t="shared" si="32"/>
        <v>0</v>
      </c>
      <c r="G330" s="132">
        <f t="shared" si="33"/>
        <v>0</v>
      </c>
    </row>
    <row r="331" spans="1:7" ht="12.75" hidden="1">
      <c r="A331" s="22">
        <f t="shared" si="34"/>
        <v>311</v>
      </c>
      <c r="B331" s="148">
        <f t="shared" si="35"/>
        <v>0</v>
      </c>
      <c r="C331" s="131">
        <f t="shared" si="29"/>
        <v>0</v>
      </c>
      <c r="D331" s="131">
        <f t="shared" si="30"/>
        <v>0</v>
      </c>
      <c r="E331" s="131">
        <f t="shared" si="31"/>
        <v>0</v>
      </c>
      <c r="F331" s="148">
        <f t="shared" si="32"/>
        <v>0</v>
      </c>
      <c r="G331" s="132">
        <f t="shared" si="33"/>
        <v>0</v>
      </c>
    </row>
    <row r="332" spans="1:7" ht="12.75" hidden="1">
      <c r="A332" s="22">
        <f t="shared" si="34"/>
        <v>312</v>
      </c>
      <c r="B332" s="148">
        <f t="shared" si="35"/>
        <v>0</v>
      </c>
      <c r="C332" s="131">
        <f t="shared" si="29"/>
        <v>0</v>
      </c>
      <c r="D332" s="131">
        <f t="shared" si="30"/>
        <v>0</v>
      </c>
      <c r="E332" s="131">
        <f t="shared" si="31"/>
        <v>0</v>
      </c>
      <c r="F332" s="148">
        <f t="shared" si="32"/>
        <v>0</v>
      </c>
      <c r="G332" s="132">
        <f t="shared" si="33"/>
        <v>0</v>
      </c>
    </row>
    <row r="333" spans="1:7" ht="12.75" hidden="1">
      <c r="A333" s="22">
        <f t="shared" si="34"/>
        <v>313</v>
      </c>
      <c r="B333" s="148">
        <f t="shared" si="35"/>
        <v>0</v>
      </c>
      <c r="C333" s="131">
        <f t="shared" si="29"/>
        <v>0</v>
      </c>
      <c r="D333" s="131">
        <f t="shared" si="30"/>
        <v>0</v>
      </c>
      <c r="E333" s="131">
        <f t="shared" si="31"/>
        <v>0</v>
      </c>
      <c r="F333" s="148">
        <f t="shared" si="32"/>
        <v>0</v>
      </c>
      <c r="G333" s="132">
        <f t="shared" si="33"/>
        <v>0</v>
      </c>
    </row>
    <row r="334" spans="1:7" ht="12.75" hidden="1">
      <c r="A334" s="22">
        <f t="shared" si="34"/>
        <v>314</v>
      </c>
      <c r="B334" s="148">
        <f t="shared" si="35"/>
        <v>0</v>
      </c>
      <c r="C334" s="131">
        <f t="shared" si="29"/>
        <v>0</v>
      </c>
      <c r="D334" s="131">
        <f t="shared" si="30"/>
        <v>0</v>
      </c>
      <c r="E334" s="131">
        <f t="shared" si="31"/>
        <v>0</v>
      </c>
      <c r="F334" s="148">
        <f t="shared" si="32"/>
        <v>0</v>
      </c>
      <c r="G334" s="132">
        <f t="shared" si="33"/>
        <v>0</v>
      </c>
    </row>
    <row r="335" spans="1:7" ht="12.75" hidden="1">
      <c r="A335" s="22">
        <f t="shared" si="34"/>
        <v>315</v>
      </c>
      <c r="B335" s="148">
        <f t="shared" si="35"/>
        <v>0</v>
      </c>
      <c r="C335" s="131">
        <f t="shared" si="29"/>
        <v>0</v>
      </c>
      <c r="D335" s="131">
        <f t="shared" si="30"/>
        <v>0</v>
      </c>
      <c r="E335" s="131">
        <f t="shared" si="31"/>
        <v>0</v>
      </c>
      <c r="F335" s="148">
        <f t="shared" si="32"/>
        <v>0</v>
      </c>
      <c r="G335" s="132">
        <f t="shared" si="33"/>
        <v>0</v>
      </c>
    </row>
    <row r="336" spans="1:7" ht="12.75" hidden="1">
      <c r="A336" s="22">
        <f t="shared" si="34"/>
        <v>316</v>
      </c>
      <c r="B336" s="148">
        <f t="shared" si="35"/>
        <v>0</v>
      </c>
      <c r="C336" s="131">
        <f t="shared" si="29"/>
        <v>0</v>
      </c>
      <c r="D336" s="131">
        <f t="shared" si="30"/>
        <v>0</v>
      </c>
      <c r="E336" s="131">
        <f t="shared" si="31"/>
        <v>0</v>
      </c>
      <c r="F336" s="148">
        <f t="shared" si="32"/>
        <v>0</v>
      </c>
      <c r="G336" s="132">
        <f t="shared" si="33"/>
        <v>0</v>
      </c>
    </row>
    <row r="337" spans="1:7" ht="12.75" hidden="1">
      <c r="A337" s="22">
        <f t="shared" si="34"/>
        <v>317</v>
      </c>
      <c r="B337" s="148">
        <f t="shared" si="35"/>
        <v>0</v>
      </c>
      <c r="C337" s="131">
        <f t="shared" si="29"/>
        <v>0</v>
      </c>
      <c r="D337" s="131">
        <f t="shared" si="30"/>
        <v>0</v>
      </c>
      <c r="E337" s="131">
        <f t="shared" si="31"/>
        <v>0</v>
      </c>
      <c r="F337" s="148">
        <f t="shared" si="32"/>
        <v>0</v>
      </c>
      <c r="G337" s="132">
        <f t="shared" si="33"/>
        <v>0</v>
      </c>
    </row>
    <row r="338" spans="1:7" ht="12.75" hidden="1">
      <c r="A338" s="22">
        <f t="shared" si="34"/>
        <v>318</v>
      </c>
      <c r="B338" s="148">
        <f t="shared" si="35"/>
        <v>0</v>
      </c>
      <c r="C338" s="131">
        <f t="shared" si="29"/>
        <v>0</v>
      </c>
      <c r="D338" s="131">
        <f t="shared" si="30"/>
        <v>0</v>
      </c>
      <c r="E338" s="131">
        <f t="shared" si="31"/>
        <v>0</v>
      </c>
      <c r="F338" s="148">
        <f t="shared" si="32"/>
        <v>0</v>
      </c>
      <c r="G338" s="132">
        <f t="shared" si="33"/>
        <v>0</v>
      </c>
    </row>
    <row r="339" spans="1:7" ht="12.75" hidden="1">
      <c r="A339" s="22">
        <f t="shared" si="34"/>
        <v>319</v>
      </c>
      <c r="B339" s="148">
        <f t="shared" si="35"/>
        <v>0</v>
      </c>
      <c r="C339" s="131">
        <f t="shared" si="29"/>
        <v>0</v>
      </c>
      <c r="D339" s="131">
        <f t="shared" si="30"/>
        <v>0</v>
      </c>
      <c r="E339" s="131">
        <f t="shared" si="31"/>
        <v>0</v>
      </c>
      <c r="F339" s="148">
        <f t="shared" si="32"/>
        <v>0</v>
      </c>
      <c r="G339" s="132">
        <f t="shared" si="33"/>
        <v>0</v>
      </c>
    </row>
    <row r="340" spans="1:7" ht="12.75" hidden="1">
      <c r="A340" s="22">
        <f t="shared" si="34"/>
        <v>320</v>
      </c>
      <c r="B340" s="148">
        <f t="shared" si="35"/>
        <v>0</v>
      </c>
      <c r="C340" s="131">
        <f t="shared" si="29"/>
        <v>0</v>
      </c>
      <c r="D340" s="131">
        <f t="shared" si="30"/>
        <v>0</v>
      </c>
      <c r="E340" s="131">
        <f t="shared" si="31"/>
        <v>0</v>
      </c>
      <c r="F340" s="148">
        <f t="shared" si="32"/>
        <v>0</v>
      </c>
      <c r="G340" s="132">
        <f t="shared" si="33"/>
        <v>0</v>
      </c>
    </row>
    <row r="341" spans="1:7" ht="12.75" hidden="1">
      <c r="A341" s="22">
        <f t="shared" si="34"/>
        <v>321</v>
      </c>
      <c r="B341" s="148">
        <f t="shared" si="35"/>
        <v>0</v>
      </c>
      <c r="C341" s="131">
        <f aca="true" t="shared" si="36" ref="C341:C380">IF(A341&lt;=$D$10,D341+$D$13,0)</f>
        <v>0</v>
      </c>
      <c r="D341" s="131">
        <f aca="true" t="shared" si="37" ref="D341:D381">E341+F341</f>
        <v>0</v>
      </c>
      <c r="E341" s="131">
        <f aca="true" t="shared" si="38" ref="E341:E380">B341*$D$11</f>
        <v>0</v>
      </c>
      <c r="F341" s="148">
        <f aca="true" t="shared" si="39" ref="F341:F380">IF(A341&lt;=$D$10,$D$12*-1,0)</f>
        <v>0</v>
      </c>
      <c r="G341" s="132">
        <f aca="true" t="shared" si="40" ref="G341:G380">B341-F341</f>
        <v>0</v>
      </c>
    </row>
    <row r="342" spans="1:7" ht="12.75" hidden="1">
      <c r="A342" s="22">
        <f aca="true" t="shared" si="41" ref="A342:A380">A341+1</f>
        <v>322</v>
      </c>
      <c r="B342" s="148">
        <f aca="true" t="shared" si="42" ref="B342:B380">B341-F341</f>
        <v>0</v>
      </c>
      <c r="C342" s="131">
        <f t="shared" si="36"/>
        <v>0</v>
      </c>
      <c r="D342" s="131">
        <f t="shared" si="37"/>
        <v>0</v>
      </c>
      <c r="E342" s="131">
        <f t="shared" si="38"/>
        <v>0</v>
      </c>
      <c r="F342" s="148">
        <f t="shared" si="39"/>
        <v>0</v>
      </c>
      <c r="G342" s="132">
        <f t="shared" si="40"/>
        <v>0</v>
      </c>
    </row>
    <row r="343" spans="1:7" ht="12.75" hidden="1">
      <c r="A343" s="22">
        <f t="shared" si="41"/>
        <v>323</v>
      </c>
      <c r="B343" s="148">
        <f t="shared" si="42"/>
        <v>0</v>
      </c>
      <c r="C343" s="131">
        <f t="shared" si="36"/>
        <v>0</v>
      </c>
      <c r="D343" s="131">
        <f t="shared" si="37"/>
        <v>0</v>
      </c>
      <c r="E343" s="131">
        <f t="shared" si="38"/>
        <v>0</v>
      </c>
      <c r="F343" s="148">
        <f t="shared" si="39"/>
        <v>0</v>
      </c>
      <c r="G343" s="132">
        <f t="shared" si="40"/>
        <v>0</v>
      </c>
    </row>
    <row r="344" spans="1:7" ht="12.75" hidden="1">
      <c r="A344" s="22">
        <f t="shared" si="41"/>
        <v>324</v>
      </c>
      <c r="B344" s="148">
        <f t="shared" si="42"/>
        <v>0</v>
      </c>
      <c r="C344" s="131">
        <f t="shared" si="36"/>
        <v>0</v>
      </c>
      <c r="D344" s="131">
        <f t="shared" si="37"/>
        <v>0</v>
      </c>
      <c r="E344" s="131">
        <f t="shared" si="38"/>
        <v>0</v>
      </c>
      <c r="F344" s="148">
        <f t="shared" si="39"/>
        <v>0</v>
      </c>
      <c r="G344" s="132">
        <f t="shared" si="40"/>
        <v>0</v>
      </c>
    </row>
    <row r="345" spans="1:7" ht="12.75" hidden="1">
      <c r="A345" s="22">
        <f t="shared" si="41"/>
        <v>325</v>
      </c>
      <c r="B345" s="148">
        <f t="shared" si="42"/>
        <v>0</v>
      </c>
      <c r="C345" s="131">
        <f t="shared" si="36"/>
        <v>0</v>
      </c>
      <c r="D345" s="131">
        <f t="shared" si="37"/>
        <v>0</v>
      </c>
      <c r="E345" s="131">
        <f t="shared" si="38"/>
        <v>0</v>
      </c>
      <c r="F345" s="148">
        <f t="shared" si="39"/>
        <v>0</v>
      </c>
      <c r="G345" s="132">
        <f t="shared" si="40"/>
        <v>0</v>
      </c>
    </row>
    <row r="346" spans="1:7" ht="12.75" hidden="1">
      <c r="A346" s="22">
        <f t="shared" si="41"/>
        <v>326</v>
      </c>
      <c r="B346" s="148">
        <f t="shared" si="42"/>
        <v>0</v>
      </c>
      <c r="C346" s="131">
        <f t="shared" si="36"/>
        <v>0</v>
      </c>
      <c r="D346" s="131">
        <f t="shared" si="37"/>
        <v>0</v>
      </c>
      <c r="E346" s="131">
        <f t="shared" si="38"/>
        <v>0</v>
      </c>
      <c r="F346" s="148">
        <f t="shared" si="39"/>
        <v>0</v>
      </c>
      <c r="G346" s="132">
        <f t="shared" si="40"/>
        <v>0</v>
      </c>
    </row>
    <row r="347" spans="1:7" ht="12.75" hidden="1">
      <c r="A347" s="22">
        <f t="shared" si="41"/>
        <v>327</v>
      </c>
      <c r="B347" s="148">
        <f t="shared" si="42"/>
        <v>0</v>
      </c>
      <c r="C347" s="131">
        <f t="shared" si="36"/>
        <v>0</v>
      </c>
      <c r="D347" s="131">
        <f t="shared" si="37"/>
        <v>0</v>
      </c>
      <c r="E347" s="131">
        <f t="shared" si="38"/>
        <v>0</v>
      </c>
      <c r="F347" s="148">
        <f t="shared" si="39"/>
        <v>0</v>
      </c>
      <c r="G347" s="132">
        <f t="shared" si="40"/>
        <v>0</v>
      </c>
    </row>
    <row r="348" spans="1:7" ht="12.75" hidden="1">
      <c r="A348" s="22">
        <f t="shared" si="41"/>
        <v>328</v>
      </c>
      <c r="B348" s="148">
        <f t="shared" si="42"/>
        <v>0</v>
      </c>
      <c r="C348" s="131">
        <f t="shared" si="36"/>
        <v>0</v>
      </c>
      <c r="D348" s="131">
        <f t="shared" si="37"/>
        <v>0</v>
      </c>
      <c r="E348" s="131">
        <f t="shared" si="38"/>
        <v>0</v>
      </c>
      <c r="F348" s="148">
        <f t="shared" si="39"/>
        <v>0</v>
      </c>
      <c r="G348" s="132">
        <f t="shared" si="40"/>
        <v>0</v>
      </c>
    </row>
    <row r="349" spans="1:7" ht="12.75" hidden="1">
      <c r="A349" s="22">
        <f t="shared" si="41"/>
        <v>329</v>
      </c>
      <c r="B349" s="148">
        <f t="shared" si="42"/>
        <v>0</v>
      </c>
      <c r="C349" s="131">
        <f t="shared" si="36"/>
        <v>0</v>
      </c>
      <c r="D349" s="131">
        <f t="shared" si="37"/>
        <v>0</v>
      </c>
      <c r="E349" s="131">
        <f t="shared" si="38"/>
        <v>0</v>
      </c>
      <c r="F349" s="148">
        <f t="shared" si="39"/>
        <v>0</v>
      </c>
      <c r="G349" s="132">
        <f t="shared" si="40"/>
        <v>0</v>
      </c>
    </row>
    <row r="350" spans="1:7" ht="12.75" hidden="1">
      <c r="A350" s="22">
        <f t="shared" si="41"/>
        <v>330</v>
      </c>
      <c r="B350" s="148">
        <f t="shared" si="42"/>
        <v>0</v>
      </c>
      <c r="C350" s="131">
        <f t="shared" si="36"/>
        <v>0</v>
      </c>
      <c r="D350" s="131">
        <f t="shared" si="37"/>
        <v>0</v>
      </c>
      <c r="E350" s="131">
        <f t="shared" si="38"/>
        <v>0</v>
      </c>
      <c r="F350" s="148">
        <f t="shared" si="39"/>
        <v>0</v>
      </c>
      <c r="G350" s="132">
        <f t="shared" si="40"/>
        <v>0</v>
      </c>
    </row>
    <row r="351" spans="1:7" ht="12.75" hidden="1">
      <c r="A351" s="22">
        <f t="shared" si="41"/>
        <v>331</v>
      </c>
      <c r="B351" s="148">
        <f t="shared" si="42"/>
        <v>0</v>
      </c>
      <c r="C351" s="131">
        <f t="shared" si="36"/>
        <v>0</v>
      </c>
      <c r="D351" s="131">
        <f t="shared" si="37"/>
        <v>0</v>
      </c>
      <c r="E351" s="131">
        <f t="shared" si="38"/>
        <v>0</v>
      </c>
      <c r="F351" s="148">
        <f t="shared" si="39"/>
        <v>0</v>
      </c>
      <c r="G351" s="132">
        <f t="shared" si="40"/>
        <v>0</v>
      </c>
    </row>
    <row r="352" spans="1:7" ht="12.75" hidden="1">
      <c r="A352" s="22">
        <f t="shared" si="41"/>
        <v>332</v>
      </c>
      <c r="B352" s="148">
        <f t="shared" si="42"/>
        <v>0</v>
      </c>
      <c r="C352" s="131">
        <f t="shared" si="36"/>
        <v>0</v>
      </c>
      <c r="D352" s="131">
        <f t="shared" si="37"/>
        <v>0</v>
      </c>
      <c r="E352" s="131">
        <f t="shared" si="38"/>
        <v>0</v>
      </c>
      <c r="F352" s="148">
        <f t="shared" si="39"/>
        <v>0</v>
      </c>
      <c r="G352" s="132">
        <f t="shared" si="40"/>
        <v>0</v>
      </c>
    </row>
    <row r="353" spans="1:7" ht="12.75" hidden="1">
      <c r="A353" s="22">
        <f t="shared" si="41"/>
        <v>333</v>
      </c>
      <c r="B353" s="148">
        <f t="shared" si="42"/>
        <v>0</v>
      </c>
      <c r="C353" s="131">
        <f t="shared" si="36"/>
        <v>0</v>
      </c>
      <c r="D353" s="131">
        <f t="shared" si="37"/>
        <v>0</v>
      </c>
      <c r="E353" s="131">
        <f t="shared" si="38"/>
        <v>0</v>
      </c>
      <c r="F353" s="148">
        <f t="shared" si="39"/>
        <v>0</v>
      </c>
      <c r="G353" s="132">
        <f t="shared" si="40"/>
        <v>0</v>
      </c>
    </row>
    <row r="354" spans="1:7" ht="12.75" hidden="1">
      <c r="A354" s="22">
        <f t="shared" si="41"/>
        <v>334</v>
      </c>
      <c r="B354" s="148">
        <f t="shared" si="42"/>
        <v>0</v>
      </c>
      <c r="C354" s="131">
        <f t="shared" si="36"/>
        <v>0</v>
      </c>
      <c r="D354" s="131">
        <f t="shared" si="37"/>
        <v>0</v>
      </c>
      <c r="E354" s="131">
        <f t="shared" si="38"/>
        <v>0</v>
      </c>
      <c r="F354" s="148">
        <f t="shared" si="39"/>
        <v>0</v>
      </c>
      <c r="G354" s="132">
        <f t="shared" si="40"/>
        <v>0</v>
      </c>
    </row>
    <row r="355" spans="1:7" ht="12.75" hidden="1">
      <c r="A355" s="22">
        <f t="shared" si="41"/>
        <v>335</v>
      </c>
      <c r="B355" s="148">
        <f t="shared" si="42"/>
        <v>0</v>
      </c>
      <c r="C355" s="131">
        <f t="shared" si="36"/>
        <v>0</v>
      </c>
      <c r="D355" s="131">
        <f t="shared" si="37"/>
        <v>0</v>
      </c>
      <c r="E355" s="131">
        <f t="shared" si="38"/>
        <v>0</v>
      </c>
      <c r="F355" s="148">
        <f t="shared" si="39"/>
        <v>0</v>
      </c>
      <c r="G355" s="132">
        <f t="shared" si="40"/>
        <v>0</v>
      </c>
    </row>
    <row r="356" spans="1:7" ht="12.75" hidden="1">
      <c r="A356" s="22">
        <f t="shared" si="41"/>
        <v>336</v>
      </c>
      <c r="B356" s="148">
        <f t="shared" si="42"/>
        <v>0</v>
      </c>
      <c r="C356" s="131">
        <f t="shared" si="36"/>
        <v>0</v>
      </c>
      <c r="D356" s="131">
        <f t="shared" si="37"/>
        <v>0</v>
      </c>
      <c r="E356" s="131">
        <f t="shared" si="38"/>
        <v>0</v>
      </c>
      <c r="F356" s="148">
        <f t="shared" si="39"/>
        <v>0</v>
      </c>
      <c r="G356" s="132">
        <f t="shared" si="40"/>
        <v>0</v>
      </c>
    </row>
    <row r="357" spans="1:7" ht="12.75" hidden="1">
      <c r="A357" s="22">
        <f t="shared" si="41"/>
        <v>337</v>
      </c>
      <c r="B357" s="148">
        <f t="shared" si="42"/>
        <v>0</v>
      </c>
      <c r="C357" s="131">
        <f t="shared" si="36"/>
        <v>0</v>
      </c>
      <c r="D357" s="131">
        <f t="shared" si="37"/>
        <v>0</v>
      </c>
      <c r="E357" s="131">
        <f t="shared" si="38"/>
        <v>0</v>
      </c>
      <c r="F357" s="148">
        <f t="shared" si="39"/>
        <v>0</v>
      </c>
      <c r="G357" s="132">
        <f t="shared" si="40"/>
        <v>0</v>
      </c>
    </row>
    <row r="358" spans="1:7" ht="12.75" hidden="1">
      <c r="A358" s="22">
        <f t="shared" si="41"/>
        <v>338</v>
      </c>
      <c r="B358" s="148">
        <f t="shared" si="42"/>
        <v>0</v>
      </c>
      <c r="C358" s="131">
        <f t="shared" si="36"/>
        <v>0</v>
      </c>
      <c r="D358" s="131">
        <f t="shared" si="37"/>
        <v>0</v>
      </c>
      <c r="E358" s="131">
        <f t="shared" si="38"/>
        <v>0</v>
      </c>
      <c r="F358" s="148">
        <f t="shared" si="39"/>
        <v>0</v>
      </c>
      <c r="G358" s="132">
        <f t="shared" si="40"/>
        <v>0</v>
      </c>
    </row>
    <row r="359" spans="1:7" ht="12.75" hidden="1">
      <c r="A359" s="22">
        <f t="shared" si="41"/>
        <v>339</v>
      </c>
      <c r="B359" s="148">
        <f t="shared" si="42"/>
        <v>0</v>
      </c>
      <c r="C359" s="131">
        <f t="shared" si="36"/>
        <v>0</v>
      </c>
      <c r="D359" s="131">
        <f t="shared" si="37"/>
        <v>0</v>
      </c>
      <c r="E359" s="131">
        <f t="shared" si="38"/>
        <v>0</v>
      </c>
      <c r="F359" s="148">
        <f t="shared" si="39"/>
        <v>0</v>
      </c>
      <c r="G359" s="132">
        <f t="shared" si="40"/>
        <v>0</v>
      </c>
    </row>
    <row r="360" spans="1:7" ht="12.75" hidden="1">
      <c r="A360" s="22">
        <f t="shared" si="41"/>
        <v>340</v>
      </c>
      <c r="B360" s="148">
        <f t="shared" si="42"/>
        <v>0</v>
      </c>
      <c r="C360" s="131">
        <f t="shared" si="36"/>
        <v>0</v>
      </c>
      <c r="D360" s="131">
        <f t="shared" si="37"/>
        <v>0</v>
      </c>
      <c r="E360" s="131">
        <f t="shared" si="38"/>
        <v>0</v>
      </c>
      <c r="F360" s="148">
        <f t="shared" si="39"/>
        <v>0</v>
      </c>
      <c r="G360" s="132">
        <f t="shared" si="40"/>
        <v>0</v>
      </c>
    </row>
    <row r="361" spans="1:7" ht="12.75" hidden="1">
      <c r="A361" s="22">
        <f t="shared" si="41"/>
        <v>341</v>
      </c>
      <c r="B361" s="148">
        <f t="shared" si="42"/>
        <v>0</v>
      </c>
      <c r="C361" s="131">
        <f t="shared" si="36"/>
        <v>0</v>
      </c>
      <c r="D361" s="131">
        <f t="shared" si="37"/>
        <v>0</v>
      </c>
      <c r="E361" s="131">
        <f t="shared" si="38"/>
        <v>0</v>
      </c>
      <c r="F361" s="148">
        <f t="shared" si="39"/>
        <v>0</v>
      </c>
      <c r="G361" s="132">
        <f t="shared" si="40"/>
        <v>0</v>
      </c>
    </row>
    <row r="362" spans="1:7" ht="12.75" hidden="1">
      <c r="A362" s="22">
        <f t="shared" si="41"/>
        <v>342</v>
      </c>
      <c r="B362" s="148">
        <f t="shared" si="42"/>
        <v>0</v>
      </c>
      <c r="C362" s="131">
        <f t="shared" si="36"/>
        <v>0</v>
      </c>
      <c r="D362" s="131">
        <f t="shared" si="37"/>
        <v>0</v>
      </c>
      <c r="E362" s="131">
        <f t="shared" si="38"/>
        <v>0</v>
      </c>
      <c r="F362" s="148">
        <f t="shared" si="39"/>
        <v>0</v>
      </c>
      <c r="G362" s="132">
        <f t="shared" si="40"/>
        <v>0</v>
      </c>
    </row>
    <row r="363" spans="1:7" ht="12.75" hidden="1">
      <c r="A363" s="22">
        <f t="shared" si="41"/>
        <v>343</v>
      </c>
      <c r="B363" s="148">
        <f t="shared" si="42"/>
        <v>0</v>
      </c>
      <c r="C363" s="131">
        <f t="shared" si="36"/>
        <v>0</v>
      </c>
      <c r="D363" s="131">
        <f t="shared" si="37"/>
        <v>0</v>
      </c>
      <c r="E363" s="131">
        <f t="shared" si="38"/>
        <v>0</v>
      </c>
      <c r="F363" s="148">
        <f t="shared" si="39"/>
        <v>0</v>
      </c>
      <c r="G363" s="132">
        <f t="shared" si="40"/>
        <v>0</v>
      </c>
    </row>
    <row r="364" spans="1:7" ht="12.75" hidden="1">
      <c r="A364" s="22">
        <f t="shared" si="41"/>
        <v>344</v>
      </c>
      <c r="B364" s="148">
        <f t="shared" si="42"/>
        <v>0</v>
      </c>
      <c r="C364" s="131">
        <f t="shared" si="36"/>
        <v>0</v>
      </c>
      <c r="D364" s="131">
        <f t="shared" si="37"/>
        <v>0</v>
      </c>
      <c r="E364" s="131">
        <f t="shared" si="38"/>
        <v>0</v>
      </c>
      <c r="F364" s="148">
        <f t="shared" si="39"/>
        <v>0</v>
      </c>
      <c r="G364" s="132">
        <f t="shared" si="40"/>
        <v>0</v>
      </c>
    </row>
    <row r="365" spans="1:7" ht="12.75" hidden="1">
      <c r="A365" s="22">
        <f t="shared" si="41"/>
        <v>345</v>
      </c>
      <c r="B365" s="148">
        <f t="shared" si="42"/>
        <v>0</v>
      </c>
      <c r="C365" s="131">
        <f t="shared" si="36"/>
        <v>0</v>
      </c>
      <c r="D365" s="131">
        <f t="shared" si="37"/>
        <v>0</v>
      </c>
      <c r="E365" s="131">
        <f t="shared" si="38"/>
        <v>0</v>
      </c>
      <c r="F365" s="148">
        <f t="shared" si="39"/>
        <v>0</v>
      </c>
      <c r="G365" s="132">
        <f t="shared" si="40"/>
        <v>0</v>
      </c>
    </row>
    <row r="366" spans="1:7" ht="12.75" hidden="1">
      <c r="A366" s="22">
        <f t="shared" si="41"/>
        <v>346</v>
      </c>
      <c r="B366" s="148">
        <f t="shared" si="42"/>
        <v>0</v>
      </c>
      <c r="C366" s="131">
        <f t="shared" si="36"/>
        <v>0</v>
      </c>
      <c r="D366" s="131">
        <f t="shared" si="37"/>
        <v>0</v>
      </c>
      <c r="E366" s="131">
        <f t="shared" si="38"/>
        <v>0</v>
      </c>
      <c r="F366" s="148">
        <f t="shared" si="39"/>
        <v>0</v>
      </c>
      <c r="G366" s="132">
        <f t="shared" si="40"/>
        <v>0</v>
      </c>
    </row>
    <row r="367" spans="1:7" ht="12.75" hidden="1">
      <c r="A367" s="22">
        <f t="shared" si="41"/>
        <v>347</v>
      </c>
      <c r="B367" s="148">
        <f t="shared" si="42"/>
        <v>0</v>
      </c>
      <c r="C367" s="131">
        <f t="shared" si="36"/>
        <v>0</v>
      </c>
      <c r="D367" s="131">
        <f t="shared" si="37"/>
        <v>0</v>
      </c>
      <c r="E367" s="131">
        <f t="shared" si="38"/>
        <v>0</v>
      </c>
      <c r="F367" s="148">
        <f t="shared" si="39"/>
        <v>0</v>
      </c>
      <c r="G367" s="132">
        <f t="shared" si="40"/>
        <v>0</v>
      </c>
    </row>
    <row r="368" spans="1:7" ht="12.75" hidden="1">
      <c r="A368" s="22">
        <f t="shared" si="41"/>
        <v>348</v>
      </c>
      <c r="B368" s="148">
        <f t="shared" si="42"/>
        <v>0</v>
      </c>
      <c r="C368" s="131">
        <f t="shared" si="36"/>
        <v>0</v>
      </c>
      <c r="D368" s="131">
        <f t="shared" si="37"/>
        <v>0</v>
      </c>
      <c r="E368" s="131">
        <f t="shared" si="38"/>
        <v>0</v>
      </c>
      <c r="F368" s="148">
        <f t="shared" si="39"/>
        <v>0</v>
      </c>
      <c r="G368" s="132">
        <f t="shared" si="40"/>
        <v>0</v>
      </c>
    </row>
    <row r="369" spans="1:7" ht="12.75" hidden="1">
      <c r="A369" s="22">
        <f t="shared" si="41"/>
        <v>349</v>
      </c>
      <c r="B369" s="148">
        <f t="shared" si="42"/>
        <v>0</v>
      </c>
      <c r="C369" s="131">
        <f t="shared" si="36"/>
        <v>0</v>
      </c>
      <c r="D369" s="131">
        <f t="shared" si="37"/>
        <v>0</v>
      </c>
      <c r="E369" s="131">
        <f t="shared" si="38"/>
        <v>0</v>
      </c>
      <c r="F369" s="148">
        <f t="shared" si="39"/>
        <v>0</v>
      </c>
      <c r="G369" s="132">
        <f t="shared" si="40"/>
        <v>0</v>
      </c>
    </row>
    <row r="370" spans="1:7" ht="12.75" hidden="1">
      <c r="A370" s="22">
        <f t="shared" si="41"/>
        <v>350</v>
      </c>
      <c r="B370" s="148">
        <f t="shared" si="42"/>
        <v>0</v>
      </c>
      <c r="C370" s="131">
        <f t="shared" si="36"/>
        <v>0</v>
      </c>
      <c r="D370" s="131">
        <f t="shared" si="37"/>
        <v>0</v>
      </c>
      <c r="E370" s="131">
        <f t="shared" si="38"/>
        <v>0</v>
      </c>
      <c r="F370" s="148">
        <f t="shared" si="39"/>
        <v>0</v>
      </c>
      <c r="G370" s="132">
        <f t="shared" si="40"/>
        <v>0</v>
      </c>
    </row>
    <row r="371" spans="1:7" ht="12.75" hidden="1">
      <c r="A371" s="22">
        <f t="shared" si="41"/>
        <v>351</v>
      </c>
      <c r="B371" s="148">
        <f t="shared" si="42"/>
        <v>0</v>
      </c>
      <c r="C371" s="131">
        <f t="shared" si="36"/>
        <v>0</v>
      </c>
      <c r="D371" s="131">
        <f t="shared" si="37"/>
        <v>0</v>
      </c>
      <c r="E371" s="131">
        <f t="shared" si="38"/>
        <v>0</v>
      </c>
      <c r="F371" s="148">
        <f t="shared" si="39"/>
        <v>0</v>
      </c>
      <c r="G371" s="132">
        <f t="shared" si="40"/>
        <v>0</v>
      </c>
    </row>
    <row r="372" spans="1:7" ht="12.75" hidden="1">
      <c r="A372" s="22">
        <f t="shared" si="41"/>
        <v>352</v>
      </c>
      <c r="B372" s="148">
        <f t="shared" si="42"/>
        <v>0</v>
      </c>
      <c r="C372" s="131">
        <f t="shared" si="36"/>
        <v>0</v>
      </c>
      <c r="D372" s="131">
        <f t="shared" si="37"/>
        <v>0</v>
      </c>
      <c r="E372" s="131">
        <f t="shared" si="38"/>
        <v>0</v>
      </c>
      <c r="F372" s="148">
        <f t="shared" si="39"/>
        <v>0</v>
      </c>
      <c r="G372" s="132">
        <f t="shared" si="40"/>
        <v>0</v>
      </c>
    </row>
    <row r="373" spans="1:7" ht="12.75" hidden="1">
      <c r="A373" s="22">
        <f t="shared" si="41"/>
        <v>353</v>
      </c>
      <c r="B373" s="148">
        <f t="shared" si="42"/>
        <v>0</v>
      </c>
      <c r="C373" s="131">
        <f t="shared" si="36"/>
        <v>0</v>
      </c>
      <c r="D373" s="131">
        <f t="shared" si="37"/>
        <v>0</v>
      </c>
      <c r="E373" s="131">
        <f t="shared" si="38"/>
        <v>0</v>
      </c>
      <c r="F373" s="148">
        <f t="shared" si="39"/>
        <v>0</v>
      </c>
      <c r="G373" s="132">
        <f t="shared" si="40"/>
        <v>0</v>
      </c>
    </row>
    <row r="374" spans="1:7" ht="12.75" hidden="1">
      <c r="A374" s="22">
        <f t="shared" si="41"/>
        <v>354</v>
      </c>
      <c r="B374" s="148">
        <f t="shared" si="42"/>
        <v>0</v>
      </c>
      <c r="C374" s="131">
        <f t="shared" si="36"/>
        <v>0</v>
      </c>
      <c r="D374" s="131">
        <f t="shared" si="37"/>
        <v>0</v>
      </c>
      <c r="E374" s="131">
        <f t="shared" si="38"/>
        <v>0</v>
      </c>
      <c r="F374" s="148">
        <f t="shared" si="39"/>
        <v>0</v>
      </c>
      <c r="G374" s="132">
        <f t="shared" si="40"/>
        <v>0</v>
      </c>
    </row>
    <row r="375" spans="1:7" ht="12.75" hidden="1">
      <c r="A375" s="22">
        <f t="shared" si="41"/>
        <v>355</v>
      </c>
      <c r="B375" s="148">
        <f t="shared" si="42"/>
        <v>0</v>
      </c>
      <c r="C375" s="131">
        <f t="shared" si="36"/>
        <v>0</v>
      </c>
      <c r="D375" s="131">
        <f t="shared" si="37"/>
        <v>0</v>
      </c>
      <c r="E375" s="131">
        <f t="shared" si="38"/>
        <v>0</v>
      </c>
      <c r="F375" s="148">
        <f t="shared" si="39"/>
        <v>0</v>
      </c>
      <c r="G375" s="132">
        <f t="shared" si="40"/>
        <v>0</v>
      </c>
    </row>
    <row r="376" spans="1:7" ht="12.75" hidden="1">
      <c r="A376" s="22">
        <f t="shared" si="41"/>
        <v>356</v>
      </c>
      <c r="B376" s="148">
        <f t="shared" si="42"/>
        <v>0</v>
      </c>
      <c r="C376" s="131">
        <f t="shared" si="36"/>
        <v>0</v>
      </c>
      <c r="D376" s="131">
        <f t="shared" si="37"/>
        <v>0</v>
      </c>
      <c r="E376" s="131">
        <f t="shared" si="38"/>
        <v>0</v>
      </c>
      <c r="F376" s="148">
        <f t="shared" si="39"/>
        <v>0</v>
      </c>
      <c r="G376" s="132">
        <f t="shared" si="40"/>
        <v>0</v>
      </c>
    </row>
    <row r="377" spans="1:7" ht="12.75" hidden="1">
      <c r="A377" s="22">
        <f t="shared" si="41"/>
        <v>357</v>
      </c>
      <c r="B377" s="148">
        <f t="shared" si="42"/>
        <v>0</v>
      </c>
      <c r="C377" s="131">
        <f t="shared" si="36"/>
        <v>0</v>
      </c>
      <c r="D377" s="131">
        <f t="shared" si="37"/>
        <v>0</v>
      </c>
      <c r="E377" s="131">
        <f t="shared" si="38"/>
        <v>0</v>
      </c>
      <c r="F377" s="148">
        <f t="shared" si="39"/>
        <v>0</v>
      </c>
      <c r="G377" s="132">
        <f t="shared" si="40"/>
        <v>0</v>
      </c>
    </row>
    <row r="378" spans="1:7" ht="12.75" hidden="1">
      <c r="A378" s="22">
        <f t="shared" si="41"/>
        <v>358</v>
      </c>
      <c r="B378" s="148">
        <f t="shared" si="42"/>
        <v>0</v>
      </c>
      <c r="C378" s="131">
        <f t="shared" si="36"/>
        <v>0</v>
      </c>
      <c r="D378" s="131">
        <f t="shared" si="37"/>
        <v>0</v>
      </c>
      <c r="E378" s="131">
        <f t="shared" si="38"/>
        <v>0</v>
      </c>
      <c r="F378" s="148">
        <f t="shared" si="39"/>
        <v>0</v>
      </c>
      <c r="G378" s="132">
        <f t="shared" si="40"/>
        <v>0</v>
      </c>
    </row>
    <row r="379" spans="1:7" ht="12.75" hidden="1">
      <c r="A379" s="22">
        <f t="shared" si="41"/>
        <v>359</v>
      </c>
      <c r="B379" s="148">
        <f t="shared" si="42"/>
        <v>0</v>
      </c>
      <c r="C379" s="131">
        <f t="shared" si="36"/>
        <v>0</v>
      </c>
      <c r="D379" s="131">
        <f t="shared" si="37"/>
        <v>0</v>
      </c>
      <c r="E379" s="131">
        <f t="shared" si="38"/>
        <v>0</v>
      </c>
      <c r="F379" s="148">
        <f t="shared" si="39"/>
        <v>0</v>
      </c>
      <c r="G379" s="132">
        <f t="shared" si="40"/>
        <v>0</v>
      </c>
    </row>
    <row r="380" spans="1:7" ht="13.5" hidden="1" thickBot="1">
      <c r="A380" s="22">
        <f t="shared" si="41"/>
        <v>360</v>
      </c>
      <c r="B380" s="148">
        <f t="shared" si="42"/>
        <v>0</v>
      </c>
      <c r="C380" s="131">
        <f t="shared" si="36"/>
        <v>0</v>
      </c>
      <c r="D380" s="131">
        <f t="shared" si="37"/>
        <v>0</v>
      </c>
      <c r="E380" s="131">
        <f t="shared" si="38"/>
        <v>0</v>
      </c>
      <c r="F380" s="148">
        <f t="shared" si="39"/>
        <v>0</v>
      </c>
      <c r="G380" s="132">
        <f t="shared" si="40"/>
        <v>0</v>
      </c>
    </row>
    <row r="381" spans="1:7" ht="13.5" thickBot="1">
      <c r="A381" s="349" t="s">
        <v>191</v>
      </c>
      <c r="B381" s="385"/>
      <c r="C381" s="385">
        <f>SUM(C21:C380)</f>
        <v>1174125</v>
      </c>
      <c r="D381" s="385">
        <f t="shared" si="37"/>
        <v>1174125</v>
      </c>
      <c r="E381" s="385">
        <f>SUM(E21:E380)</f>
        <v>164125</v>
      </c>
      <c r="F381" s="385">
        <f>SUM(F21:F380)</f>
        <v>1010000</v>
      </c>
      <c r="G381" s="386"/>
    </row>
    <row r="382" ht="12.75">
      <c r="A382" s="87"/>
    </row>
    <row r="383" ht="12.75">
      <c r="A383" s="87"/>
    </row>
    <row r="384" ht="12.75">
      <c r="A384" s="87"/>
    </row>
    <row r="385" ht="12.75">
      <c r="A385" s="87"/>
    </row>
    <row r="386" ht="12.75">
      <c r="A386" s="87"/>
    </row>
    <row r="387" ht="12.75">
      <c r="A387" s="87"/>
    </row>
    <row r="388" ht="12.75">
      <c r="A388" s="87"/>
    </row>
    <row r="389" ht="12.75">
      <c r="A389" s="87"/>
    </row>
    <row r="390" ht="12.75">
      <c r="A390" s="87"/>
    </row>
    <row r="391" ht="12.75">
      <c r="A391" s="87"/>
    </row>
    <row r="392" ht="12.75">
      <c r="A392" s="87"/>
    </row>
    <row r="393" ht="12.75">
      <c r="A393" s="87"/>
    </row>
    <row r="394" ht="12.75">
      <c r="A394" s="87"/>
    </row>
    <row r="395" ht="12.75">
      <c r="A395" s="87"/>
    </row>
  </sheetData>
  <mergeCells count="15">
    <mergeCell ref="A16:D16"/>
    <mergeCell ref="A11:C11"/>
    <mergeCell ref="A12:C12"/>
    <mergeCell ref="A13:C13"/>
    <mergeCell ref="A15:C15"/>
    <mergeCell ref="A14:D14"/>
    <mergeCell ref="A1:G1"/>
    <mergeCell ref="A2:C2"/>
    <mergeCell ref="A4:C4"/>
    <mergeCell ref="A5:C5"/>
    <mergeCell ref="A10:C10"/>
    <mergeCell ref="A6:C6"/>
    <mergeCell ref="A7:C7"/>
    <mergeCell ref="A8:C8"/>
    <mergeCell ref="A9:C9"/>
  </mergeCells>
  <printOptions/>
  <pageMargins left="0.5905511811023623" right="0.3937007874015748" top="0.3937007874015748" bottom="0.3937007874015748" header="0.5118110236220472" footer="0.5118110236220472"/>
  <pageSetup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Roskilde Handelsskole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Roskilde Handelsskole</dc:creator>
  <cp:keywords/>
  <dc:description/>
  <cp:lastModifiedBy>Roskilde Handelsskole</cp:lastModifiedBy>
  <cp:lastPrinted>2010-03-10T16:01:03Z</cp:lastPrinted>
  <dcterms:created xsi:type="dcterms:W3CDTF">2003-09-10T09:30:35Z</dcterms:created>
  <dcterms:modified xsi:type="dcterms:W3CDTF">2010-03-10T16:03:13Z</dcterms:modified>
  <cp:category/>
  <cp:version/>
  <cp:contentType/>
  <cp:contentStatus/>
</cp:coreProperties>
</file>