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tabRatio="945" firstSheet="4" activeTab="11"/>
  </bookViews>
  <sheets>
    <sheet name="Prisoptimering" sheetId="1" r:id="rId1"/>
    <sheet name="løsningstabel" sheetId="2" r:id="rId2"/>
    <sheet name="Prisoptimering (1.3)" sheetId="3" r:id="rId3"/>
    <sheet name="løsningstabel (1.3)" sheetId="4" r:id="rId4"/>
    <sheet name="investering 2.1" sheetId="5" r:id="rId5"/>
    <sheet name="investering 2.2" sheetId="6" r:id="rId6"/>
    <sheet name="investering 2.3" sheetId="7" r:id="rId7"/>
    <sheet name="Effektiv rente annuitetslån" sheetId="8" r:id="rId8"/>
    <sheet name="note annuitetslån" sheetId="9" r:id="rId9"/>
    <sheet name="kombilån" sheetId="10" r:id="rId10"/>
    <sheet name="opgave 4" sheetId="11" r:id="rId11"/>
    <sheet name=" opgave 4 Resultatkontrol " sheetId="12" r:id="rId12"/>
  </sheets>
  <definedNames/>
  <calcPr fullCalcOnLoad="1"/>
</workbook>
</file>

<file path=xl/comments1.xml><?xml version="1.0" encoding="utf-8"?>
<comments xmlns="http://schemas.openxmlformats.org/spreadsheetml/2006/main">
  <authors>
    <author>Roskilde Handelsskole</author>
  </authors>
  <commentList>
    <comment ref="C115" authorId="0">
      <text>
        <r>
          <rPr>
            <sz val="20"/>
            <rFont val="Tahoma"/>
            <family val="2"/>
          </rPr>
          <t>Find prisen ud fra ovenstående tabeller via en cellereference. 
Træk derefter formlen ud til
kolonne J (celle J115)</t>
        </r>
        <r>
          <rPr>
            <sz val="8"/>
            <rFont val="Tahoma"/>
            <family val="0"/>
          </rPr>
          <t xml:space="preserve">
</t>
        </r>
      </text>
    </comment>
  </commentList>
</comments>
</file>

<file path=xl/comments12.xml><?xml version="1.0" encoding="utf-8"?>
<comments xmlns="http://schemas.openxmlformats.org/spreadsheetml/2006/main">
  <authors>
    <author>Roskilde Handelsskole</author>
    <author>gustav</author>
  </authors>
  <commentList>
    <comment ref="G5" authorId="0">
      <text>
        <r>
          <rPr>
            <b/>
            <sz val="8"/>
            <rFont val="Tahoma"/>
            <family val="0"/>
          </rPr>
          <t xml:space="preserve">Faktisk afsætning gange budget pris
</t>
        </r>
      </text>
    </comment>
    <comment ref="F26" authorId="0">
      <text>
        <r>
          <rPr>
            <sz val="8"/>
            <rFont val="Tahoma"/>
            <family val="0"/>
          </rPr>
          <t xml:space="preserve">Der er mulighed for at indsætte 4 råvarer
</t>
        </r>
      </text>
    </comment>
    <comment ref="C67" authorId="0">
      <text>
        <r>
          <rPr>
            <b/>
            <sz val="8"/>
            <rFont val="Tahoma"/>
            <family val="0"/>
          </rPr>
          <t>Standardpris i produktionen, dvs. hvad det koster ifølge forkalkulationen at producere 1 stk.</t>
        </r>
        <r>
          <rPr>
            <sz val="8"/>
            <rFont val="Tahoma"/>
            <family val="0"/>
          </rPr>
          <t xml:space="preserve">
</t>
        </r>
      </text>
    </comment>
    <comment ref="B33" authorId="0">
      <text>
        <r>
          <rPr>
            <b/>
            <sz val="8"/>
            <rFont val="Tahoma"/>
            <family val="0"/>
          </rPr>
          <t>Standardpris, dvs. hvad prisen er pr. stk/meter/kilo 
ifølge forkalkulationen</t>
        </r>
      </text>
    </comment>
    <comment ref="A12" authorId="1">
      <text>
        <r>
          <rPr>
            <b/>
            <sz val="8"/>
            <rFont val="Tahoma"/>
            <family val="0"/>
          </rPr>
          <t>Der er mulighed for at indsætte afvigelser på optil 7 forskellige råvarer som skal indkøbes</t>
        </r>
        <r>
          <rPr>
            <sz val="8"/>
            <rFont val="Tahoma"/>
            <family val="0"/>
          </rPr>
          <t xml:space="preserve">
</t>
        </r>
      </text>
    </comment>
    <comment ref="B38" authorId="1">
      <text>
        <r>
          <rPr>
            <b/>
            <sz val="8"/>
            <rFont val="Tahoma"/>
            <family val="0"/>
          </rPr>
          <t xml:space="preserve">Leverede skt. Til afdeling 2
</t>
        </r>
      </text>
    </comment>
    <comment ref="B51" authorId="1">
      <text>
        <r>
          <rPr>
            <b/>
            <sz val="8"/>
            <rFont val="Tahoma"/>
            <family val="0"/>
          </rPr>
          <t>Leverede stk. færdigvarerlageret</t>
        </r>
      </text>
    </comment>
  </commentList>
</comments>
</file>

<file path=xl/comments3.xml><?xml version="1.0" encoding="utf-8"?>
<comments xmlns="http://schemas.openxmlformats.org/spreadsheetml/2006/main">
  <authors>
    <author>Roskilde Handelsskole</author>
  </authors>
  <commentList>
    <comment ref="C115" authorId="0">
      <text>
        <r>
          <rPr>
            <sz val="20"/>
            <rFont val="Tahoma"/>
            <family val="2"/>
          </rPr>
          <t>Find prisen ud fra ovenstående tabeller via en cellereference. 
Træk derefter formlen ud til
kolonne J (celle J115)</t>
        </r>
        <r>
          <rPr>
            <sz val="8"/>
            <rFont val="Tahoma"/>
            <family val="0"/>
          </rPr>
          <t xml:space="preserve">
</t>
        </r>
      </text>
    </comment>
  </commentList>
</comments>
</file>

<file path=xl/comments8.xml><?xml version="1.0" encoding="utf-8"?>
<comments xmlns="http://schemas.openxmlformats.org/spreadsheetml/2006/main">
  <authors>
    <author>Brygger</author>
    <author>IT afdelingen</author>
  </authors>
  <commentList>
    <comment ref="A381" authorId="0">
      <text>
        <r>
          <rPr>
            <b/>
            <sz val="8"/>
            <rFont val="Tahoma"/>
            <family val="0"/>
          </rPr>
          <t>Marker de 2 rækker 59 og 380,
højre klik på musen,
vælg vis. 
Lånet får dermed 360 terminer. 
(30 år af 12 terminer)</t>
        </r>
      </text>
    </comment>
    <comment ref="D3" authorId="1">
      <text>
        <r>
          <rPr>
            <b/>
            <sz val="14"/>
            <rFont val="Tahoma"/>
            <family val="2"/>
          </rPr>
          <t xml:space="preserve">Hvis lånet er et obligationslån er det typisk at kursen er under 100 når lånet optagets. Indtastningen kan være
f.eks. 90 eller 95.  Kursen angiver hvor mange % af hovedstolen låntager får udbetalt.
</t>
        </r>
        <r>
          <rPr>
            <sz val="14"/>
            <rFont val="Tahoma"/>
            <family val="2"/>
          </rPr>
          <t xml:space="preserve">
</t>
        </r>
      </text>
    </comment>
    <comment ref="D10" authorId="1">
      <text>
        <r>
          <rPr>
            <sz val="14"/>
            <rFont val="Tahoma"/>
            <family val="2"/>
          </rPr>
          <t xml:space="preserve">Nominel rente pr. termin er, nominel rente pr. år divideret med terminer pr år. 
F.eks hvis renten er 10% med 2 terminer pr. år 
er det 5% (10%/2) pr. halvår.
Excel udregner selv de 5%.
</t>
        </r>
      </text>
    </comment>
    <comment ref="D9" authorId="1">
      <text>
        <r>
          <rPr>
            <sz val="14"/>
            <rFont val="Tahoma"/>
            <family val="2"/>
          </rPr>
          <t>Hvis lånet er 10 årigt med halvårlige terminer udregner excel selv at der skal stå 10*2= 20 i dette felt (20 terminer á et ½ år)</t>
        </r>
      </text>
    </comment>
    <comment ref="D2" authorId="1">
      <text>
        <r>
          <rPr>
            <b/>
            <sz val="16"/>
            <rFont val="Tahoma"/>
            <family val="2"/>
          </rPr>
          <t>Der må kun tastes i de farvede celler. Indtast hovedstolen her</t>
        </r>
      </text>
    </comment>
    <comment ref="D5" authorId="1">
      <text>
        <r>
          <rPr>
            <b/>
            <sz val="14"/>
            <rFont val="Tahoma"/>
            <family val="2"/>
          </rPr>
          <t>Dette tal kaldes for nettoprovenuet og er de penge som låntager får udbetalt</t>
        </r>
        <r>
          <rPr>
            <b/>
            <sz val="8"/>
            <rFont val="Tahoma"/>
            <family val="0"/>
          </rPr>
          <t xml:space="preserve">
</t>
        </r>
      </text>
    </comment>
    <comment ref="D4" authorId="1">
      <text>
        <r>
          <rPr>
            <b/>
            <sz val="14"/>
            <rFont val="Tahoma"/>
            <family val="2"/>
          </rPr>
          <t xml:space="preserve">De fleste lån har stiftelsesomkostninger / etableringsomkostninger når lånet skal optages. For et lån på 1.000.000 kan det f.eks. være kr. 10.000.
</t>
        </r>
      </text>
    </comment>
    <comment ref="D8" authorId="1">
      <text>
        <r>
          <rPr>
            <b/>
            <sz val="14"/>
            <rFont val="Tahoma"/>
            <family val="2"/>
          </rPr>
          <t>Hvis lånet har årlige ydelser tastes 1
Hvis der er halv årlige ydelser tastes 2 
Hvis der er kvartårlige ydelser tastes 4
Hvis der er måndelige ydelser tastes 12</t>
        </r>
        <r>
          <rPr>
            <sz val="14"/>
            <rFont val="Tahoma"/>
            <family val="2"/>
          </rPr>
          <t xml:space="preserve">
</t>
        </r>
      </text>
    </comment>
    <comment ref="D12" authorId="1">
      <text>
        <r>
          <rPr>
            <b/>
            <sz val="14"/>
            <rFont val="Tahoma"/>
            <family val="2"/>
          </rPr>
          <t xml:space="preserve">Normalt er der ikke noget gebyr i opgaverne,
derfor skal der normalt stå 0
</t>
        </r>
      </text>
    </comment>
    <comment ref="D16" authorId="1">
      <text>
        <r>
          <rPr>
            <b/>
            <sz val="14"/>
            <rFont val="Tahoma"/>
            <family val="2"/>
          </rPr>
          <t>Husk den effektive rente er den rigtige rente som låntager betaler for lånet. 
Ved forbruger køb skal den effektive rente oplyses. Den benævnes som ÅOP (Årlige Omkostninger i Procent).</t>
        </r>
      </text>
    </comment>
  </commentList>
</comments>
</file>

<file path=xl/sharedStrings.xml><?xml version="1.0" encoding="utf-8"?>
<sst xmlns="http://schemas.openxmlformats.org/spreadsheetml/2006/main" count="548" uniqueCount="294">
  <si>
    <t>Pris</t>
  </si>
  <si>
    <t>Afsætning</t>
  </si>
  <si>
    <t>Omsætning</t>
  </si>
  <si>
    <t>VO</t>
  </si>
  <si>
    <t>DB</t>
  </si>
  <si>
    <t>KO,faste</t>
  </si>
  <si>
    <t>Overskud</t>
  </si>
  <si>
    <t>VE</t>
  </si>
  <si>
    <t>i overskud</t>
  </si>
  <si>
    <t xml:space="preserve">Optimum </t>
  </si>
  <si>
    <t>DB pr stk.</t>
  </si>
  <si>
    <t xml:space="preserve">Tidsforbrug </t>
  </si>
  <si>
    <t>Produkt :</t>
  </si>
  <si>
    <t>Produktionstid:</t>
  </si>
  <si>
    <t>Optimal pris</t>
  </si>
  <si>
    <t>Optimal mængde</t>
  </si>
  <si>
    <t>Prisoptimering</t>
  </si>
  <si>
    <t>Optimeringstabel</t>
  </si>
  <si>
    <t>Maks kapacitet</t>
  </si>
  <si>
    <t>1 prioritet</t>
  </si>
  <si>
    <t>2 prioritet</t>
  </si>
  <si>
    <t>3 prioritet</t>
  </si>
  <si>
    <t>4 prioritet</t>
  </si>
  <si>
    <t>5 prioritet</t>
  </si>
  <si>
    <t>6 prioritet</t>
  </si>
  <si>
    <t>7 prioritet</t>
  </si>
  <si>
    <t>8 prioritet</t>
  </si>
  <si>
    <t>9 prioritet</t>
  </si>
  <si>
    <t>10 prioritet</t>
  </si>
  <si>
    <t>11 prioritet</t>
  </si>
  <si>
    <t>12 prioritet</t>
  </si>
  <si>
    <t>Produkt</t>
  </si>
  <si>
    <t>Prioritet</t>
  </si>
  <si>
    <t>Dif.bidrag</t>
  </si>
  <si>
    <t>Mindste /sortering</t>
  </si>
  <si>
    <t>Største dif. Bidrag</t>
  </si>
  <si>
    <t>Ekstra timeforbrug</t>
  </si>
  <si>
    <t>Akk. timeforbrug</t>
  </si>
  <si>
    <t>Produktion</t>
  </si>
  <si>
    <t>Nr.</t>
  </si>
  <si>
    <t>Afsætningsplan:</t>
  </si>
  <si>
    <t>Navn</t>
  </si>
  <si>
    <t>Akk time forbrug</t>
  </si>
  <si>
    <t>-</t>
  </si>
  <si>
    <t>Produkt:</t>
  </si>
  <si>
    <t>FO</t>
  </si>
  <si>
    <t>I alt</t>
  </si>
  <si>
    <t>Top</t>
  </si>
  <si>
    <t>flasker pr. liter.</t>
  </si>
  <si>
    <t>ekstra liter</t>
  </si>
  <si>
    <t>DB pr liter</t>
  </si>
  <si>
    <t>Differensbidrag pr. liter</t>
  </si>
  <si>
    <t>Antal liter</t>
  </si>
  <si>
    <t>liter</t>
  </si>
  <si>
    <t>Ekstra</t>
  </si>
  <si>
    <t>Top export</t>
  </si>
  <si>
    <t>1.2</t>
  </si>
  <si>
    <t>Produktion af Top før:</t>
  </si>
  <si>
    <t>pr. flaske</t>
  </si>
  <si>
    <t>Produktion af Top nu</t>
  </si>
  <si>
    <t>+ salgsfragt og flaske</t>
  </si>
  <si>
    <t>Ændring i VE pr. flaske</t>
  </si>
  <si>
    <t>pr flaske</t>
  </si>
  <si>
    <t>Ændring i VE pr. liter</t>
  </si>
  <si>
    <t>pr. liter</t>
  </si>
  <si>
    <t xml:space="preserve">VE i alt </t>
  </si>
  <si>
    <t>Vi vil sælge Top så længe der er positivt diffenensbidrag:</t>
  </si>
  <si>
    <t xml:space="preserve">Top </t>
  </si>
  <si>
    <t>Top eksport</t>
  </si>
  <si>
    <t>MAKS fremmedproduktion (1300000/4)=325000 lit.</t>
  </si>
  <si>
    <t>Egenproduktion (vi har maks. 200000 timer tilbage til egenproduktion (2000000-1800000)</t>
  </si>
  <si>
    <t>Der skal produceres (325000 -5000) 320000 lit. Top hos kollegaen</t>
  </si>
  <si>
    <t>Ekstraomkostninger 6,40*320000</t>
  </si>
  <si>
    <t>Nyt DB</t>
  </si>
  <si>
    <t>Det er dermed lønsomt at lade kollegaen fremstille 320000 liter top.</t>
  </si>
  <si>
    <t>1.3</t>
  </si>
  <si>
    <t xml:space="preserve">Indtjening før </t>
  </si>
  <si>
    <t>Merindtjening som bør indgå i en investeringskalkulation</t>
  </si>
  <si>
    <t>I alt (alt med positivt diffenensbidrag skal produceres)</t>
  </si>
  <si>
    <t>1.4</t>
  </si>
  <si>
    <t>Fleksibilitet</t>
  </si>
  <si>
    <t xml:space="preserve">Måske billigere og mindre fejl, intet overarbejde idet kapacieten ikke "overudnyttes" </t>
  </si>
  <si>
    <t>Ulemper ved outsourcing:</t>
  </si>
  <si>
    <t>Fordele ved outsourcing:</t>
  </si>
  <si>
    <t>Levering til tiden?</t>
  </si>
  <si>
    <t>Overholdelse af aftaler, prisændringer, kvalitet?</t>
  </si>
  <si>
    <t>Hvis det er en kernekompetance bør den ikke outsources!</t>
  </si>
  <si>
    <t>Opgave 2</t>
  </si>
  <si>
    <t>Ombygning af anlæg</t>
  </si>
  <si>
    <t>+ efteruddannelse</t>
  </si>
  <si>
    <t>Investering i alt i tid 0</t>
  </si>
  <si>
    <t>år</t>
  </si>
  <si>
    <t>rente</t>
  </si>
  <si>
    <t>Tid / År</t>
  </si>
  <si>
    <t>Indbetalinger</t>
  </si>
  <si>
    <t>Udbetalinger</t>
  </si>
  <si>
    <t>Net Cash-Flow</t>
  </si>
  <si>
    <t>NPV, nutidsværdimetoden, kapitalværdienmetoden</t>
  </si>
  <si>
    <t>Annuitetsmetoden (Det årlige resultat)/PMT</t>
  </si>
  <si>
    <t>Den interne rente (IRR)</t>
  </si>
  <si>
    <t>Tilbagebetalingstiden i år (pay -back)</t>
  </si>
  <si>
    <t>nutidsværdi</t>
  </si>
  <si>
    <t>omregnet til en annuitet</t>
  </si>
  <si>
    <t>Kommentarer:</t>
  </si>
  <si>
    <r>
      <t>Diskonteringsfaktoren Rentetabel 2  (1+r)</t>
    </r>
    <r>
      <rPr>
        <b/>
        <vertAlign val="superscript"/>
        <sz val="12"/>
        <rFont val="Arial"/>
        <family val="2"/>
      </rPr>
      <t>-n</t>
    </r>
  </si>
  <si>
    <r>
      <t xml:space="preserve">Nutidsværdi </t>
    </r>
    <r>
      <rPr>
        <b/>
        <vertAlign val="superscript"/>
        <sz val="12"/>
        <rFont val="Arial"/>
        <family val="2"/>
      </rPr>
      <t xml:space="preserve"> Diskonteringsfaktoren * Net cash-flow</t>
    </r>
  </si>
  <si>
    <r>
      <t>Diskonteringsfaktoren   (1+r)</t>
    </r>
    <r>
      <rPr>
        <b/>
        <vertAlign val="superscript"/>
        <sz val="12"/>
        <rFont val="Arial"/>
        <family val="2"/>
      </rPr>
      <t xml:space="preserve">-n </t>
    </r>
    <r>
      <rPr>
        <b/>
        <sz val="12"/>
        <rFont val="Arial"/>
        <family val="2"/>
      </rPr>
      <t>ved IRR</t>
    </r>
  </si>
  <si>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</si>
  <si>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t>Udfra ovenstående ses det at hvis kapacitetsomkostningerne er på 133393 er nutidsværdien 0 og investeringen er dermed ikke lønsom hvis kapacitetsomkostningerne bliver større end kr. 133.393. Beløbet fer fremkommet ved at lægge årets resultat fra 2.1 33.393 sammen med de 100000 som var de oprindelige kapacitetsomkostninger.</t>
  </si>
  <si>
    <t>Scrapværdi og indbetaling i år 4:</t>
  </si>
  <si>
    <t>opriendelig</t>
  </si>
  <si>
    <t>nutidsværdi før ud i år 4</t>
  </si>
  <si>
    <t>Normal indbetaling</t>
  </si>
  <si>
    <t>Ny scrapværdi</t>
  </si>
  <si>
    <t>Vi tager den positive NPV værdi fra 2.1 og dividerer emd diskonteringsfaktoren for år 4. 86446,76/0,48225 = 179256 dette beløb fratrækker vi til den oprindelige scrapværdi på 500000. Scrapværdien skal altså blot være 320744 før investeringen er lønsom. Ovenstående viser beregningen.</t>
  </si>
  <si>
    <t>2.4</t>
  </si>
  <si>
    <t>Man skal følge med teknologien ellers er man ikke på markedet om få år.</t>
  </si>
  <si>
    <t>Kan vi anvende ekstra kapaciteten til noget andet arbejde for andre kunder. Vi har jo ledig kapacitet.</t>
  </si>
  <si>
    <t>Er investeringen high eller low risk</t>
  </si>
  <si>
    <t>Kan den finansieres, har vi pengene, solitidit og gering?</t>
  </si>
  <si>
    <t>Hvordan hænger denne ekspansion sammen med vores strategi? Skal der mere mængde på?</t>
  </si>
  <si>
    <t>Beregning af effektiv rente på annuitetslån:</t>
  </si>
  <si>
    <t>Lånets størrelse, Hovedstol</t>
  </si>
  <si>
    <t>Kurs</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</si>
  <si>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</si>
  <si>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</si>
  <si>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</si>
  <si>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</si>
  <si>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</si>
  <si>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</si>
  <si>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</si>
  <si>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</si>
  <si>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</si>
  <si>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</si>
  <si>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</si>
  <si>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</si>
  <si>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</si>
  <si>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</si>
  <si>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</si>
  <si>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</si>
  <si>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Afdrag</t>
  </si>
  <si>
    <t>Restgæld ultimo</t>
  </si>
  <si>
    <t>Total</t>
  </si>
  <si>
    <t>Derefter ændres hovedstolen til nettoprovenuet som sættes lig med annuitets-diskonteringsfaktoren (rentetabel 4) ganget med betalingen/ydelsen pr termin (b). Renten (r) er den ubekendte som skal findes.</t>
  </si>
  <si>
    <t>Først beregnes ydelsen (b) udfra hovedstolen:</t>
  </si>
  <si>
    <t xml:space="preserve">Hovedstolen </t>
  </si>
  <si>
    <t>=</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</si>
  <si>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</si>
  <si>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</si>
  <si>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</si>
  <si>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</si>
  <si>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</si>
  <si>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</si>
  <si>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</si>
  <si>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</si>
  <si>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</si>
  <si>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</si>
  <si>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</si>
  <si>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r>
      <t xml:space="preserve">Note til beregningen af den effektive rente på annuitetslån: </t>
    </r>
    <r>
      <rPr>
        <sz val="12"/>
        <rFont val="Arial"/>
        <family val="0"/>
      </rPr>
      <t xml:space="preserve">                                           Den effektive rente på et annuitetslån beregnes ved at bruge nedenstående formel. Først findes ydelsen (b). </t>
    </r>
  </si>
  <si>
    <t>Opgave 3 tilbud 2</t>
  </si>
  <si>
    <t>Hovedstol</t>
  </si>
  <si>
    <t xml:space="preserve">Afdrag </t>
  </si>
  <si>
    <t>Ydelse</t>
  </si>
  <si>
    <t>Halvår</t>
  </si>
  <si>
    <t>Nominel rente pr. halvår</t>
  </si>
  <si>
    <t>Nominel rent pr. år</t>
  </si>
  <si>
    <t>Nettoprovenu</t>
  </si>
  <si>
    <t>restgæld primo</t>
  </si>
  <si>
    <t>Den interne rente (IRR) pr. halvår</t>
  </si>
  <si>
    <t>Den interne rente på år er dermed (1,0356^2 - 1)*100= 7,25% per år i effektiv rente.</t>
  </si>
  <si>
    <t>dage</t>
  </si>
  <si>
    <t xml:space="preserve">minus </t>
  </si>
  <si>
    <t xml:space="preserve">eller </t>
  </si>
  <si>
    <t xml:space="preserve">dage </t>
  </si>
  <si>
    <t>netto</t>
  </si>
  <si>
    <t>Formel:</t>
  </si>
  <si>
    <t>Rabat</t>
  </si>
  <si>
    <t>Årets dage</t>
  </si>
  <si>
    <t>Årlig rente i %</t>
  </si>
  <si>
    <t xml:space="preserve">Betaling minus rabat </t>
  </si>
  <si>
    <t>Dage mellem betalingerne</t>
  </si>
  <si>
    <t>Tallene indsættes i formlen:</t>
  </si>
  <si>
    <t>i årlig rente</t>
  </si>
  <si>
    <t>Alternativ  beregning:</t>
  </si>
  <si>
    <t xml:space="preserve">Renten pr. </t>
  </si>
  <si>
    <t>er</t>
  </si>
  <si>
    <t>divideret med</t>
  </si>
  <si>
    <t>Dette tal ganges med 100 for at få det i % =</t>
  </si>
  <si>
    <t>Med renters rente giver det en pro anno rente på:</t>
  </si>
  <si>
    <t>Da renten som virksomheden betaler på kassekreditten er</t>
  </si>
  <si>
    <t>Valg mellem 2 betalingsbetingelser (kunder):</t>
  </si>
  <si>
    <t>vil det være attraktivt at give kunderne kredit i alle 45 dage.</t>
  </si>
  <si>
    <t>Så Tophat bør ikke vælge at bruge factoring selskabet</t>
  </si>
  <si>
    <t>4.2</t>
  </si>
  <si>
    <t>Tab pga. gebyr</t>
  </si>
  <si>
    <t>omsætning fra factoring</t>
  </si>
  <si>
    <t>Disse penge kommer ind 9 gange pr. år.</t>
  </si>
  <si>
    <t>Tab som skal hentes via rentebesparelse.</t>
  </si>
  <si>
    <t>Mer -likviditet 51.260.400/9 = 5.695.000, disse penge er i g.snit ekstra på vores konto</t>
  </si>
  <si>
    <t>10% af dette er 569.500, disse penge skal modregnes vores 939.600.</t>
  </si>
  <si>
    <t>rente gevinst</t>
  </si>
  <si>
    <t>Besparelse i adm. Omk.</t>
  </si>
  <si>
    <t>Opgave 5</t>
  </si>
  <si>
    <t>1 kvartal 2009</t>
  </si>
  <si>
    <t>Faktisk afsætning</t>
  </si>
  <si>
    <t>faktisk oms</t>
  </si>
  <si>
    <t xml:space="preserve">Faktisk pris </t>
  </si>
  <si>
    <t>Budget afsætning</t>
  </si>
  <si>
    <t>Budget pris</t>
  </si>
  <si>
    <t>Aktuelt</t>
  </si>
  <si>
    <t>Budget</t>
  </si>
  <si>
    <t>Afvigelse</t>
  </si>
  <si>
    <t>Standard omsætning</t>
  </si>
  <si>
    <t>Standard vareforbrug</t>
  </si>
  <si>
    <t>Standard bruttofortjeneste</t>
  </si>
  <si>
    <t>Standard salgsprovision</t>
  </si>
  <si>
    <t>Standard DB (mængdeafvigelse)</t>
  </si>
  <si>
    <t>Faktisk oms - (faktisk afs. * budget pris)</t>
  </si>
  <si>
    <t>Ekstrakt A</t>
  </si>
  <si>
    <t>Ekstrakt B</t>
  </si>
  <si>
    <t>Emballage</t>
  </si>
  <si>
    <t>x</t>
  </si>
  <si>
    <t>y</t>
  </si>
  <si>
    <t>z</t>
  </si>
  <si>
    <t>q</t>
  </si>
  <si>
    <t>Standard indkøbspris</t>
  </si>
  <si>
    <t>samlet indkøb i kr.</t>
  </si>
  <si>
    <t>indkøbt mængde</t>
  </si>
  <si>
    <t>Stk. omk i indkøb</t>
  </si>
  <si>
    <t>Standard omkostning</t>
  </si>
  <si>
    <t>Afdeling 1</t>
  </si>
  <si>
    <t>Afdeling 2</t>
  </si>
  <si>
    <t>Afdeling 3</t>
  </si>
  <si>
    <t>Afdeling 4</t>
  </si>
  <si>
    <t>Afdeling 5</t>
  </si>
  <si>
    <t>Afdeling 6</t>
  </si>
  <si>
    <t>Afdeling 7</t>
  </si>
  <si>
    <t>Standard lønsats</t>
  </si>
  <si>
    <t>samlet udbetalt løn i kr.</t>
  </si>
  <si>
    <t>timeforbrug</t>
  </si>
  <si>
    <t>Råvarerlager afvigelsen:</t>
  </si>
  <si>
    <t>Primo</t>
  </si>
  <si>
    <t>+ tilgang</t>
  </si>
  <si>
    <t>- afgang</t>
  </si>
  <si>
    <t>Ultimo beholdning</t>
  </si>
  <si>
    <t>Faktisk ultimobeholdning</t>
  </si>
  <si>
    <t>Afvigelse i mængde</t>
  </si>
  <si>
    <t>Standardpris</t>
  </si>
  <si>
    <t>Afvigelse i kr.</t>
  </si>
  <si>
    <t>Forbrugsafvigelsen Afdeling 1:</t>
  </si>
  <si>
    <t>Vand</t>
  </si>
  <si>
    <t>Arbejdsløn</t>
  </si>
  <si>
    <t>Afgang standardforbrug</t>
  </si>
  <si>
    <t>+ svind ifht standardforbruget</t>
  </si>
  <si>
    <t>Afvigelse efter svind</t>
  </si>
  <si>
    <t>Standard forbrug</t>
  </si>
  <si>
    <t>Faktisk forbrug</t>
  </si>
  <si>
    <t>Afvigelse i kr. / total</t>
  </si>
  <si>
    <t>Forbrugsafvigelsen Afdeling 2:</t>
  </si>
  <si>
    <t>Halvfabrikata</t>
  </si>
  <si>
    <t>+tilgang</t>
  </si>
  <si>
    <t>Faktisk beholdning</t>
  </si>
  <si>
    <t>Standard pris</t>
  </si>
  <si>
    <t>Færdigvarerafvigelsen:</t>
  </si>
  <si>
    <t>Ultimo behold.</t>
  </si>
  <si>
    <t>Faktisk behold.</t>
  </si>
  <si>
    <t>Afvigelse i stk.</t>
  </si>
  <si>
    <t>Samlet afvigelse</t>
  </si>
  <si>
    <t>budget</t>
  </si>
  <si>
    <t>Faktisk indkøb i kr</t>
  </si>
  <si>
    <t>Faktisk indkøb i mængde</t>
  </si>
  <si>
    <t>Faktisk indkøb * standardpris</t>
  </si>
  <si>
    <t>Faktisk pris</t>
  </si>
  <si>
    <t>Faktisk løn udbetalt</t>
  </si>
  <si>
    <t>Forbrugt arbejdsløn i timer</t>
  </si>
  <si>
    <t>Faktisk løn * standardpris</t>
  </si>
  <si>
    <t>Afvigelse i kr / total</t>
  </si>
  <si>
    <t>Indkøbsafvigelse:</t>
  </si>
  <si>
    <t>Stk.</t>
  </si>
  <si>
    <t>Varelager optalt</t>
  </si>
  <si>
    <t>+Indkøb</t>
  </si>
  <si>
    <t>-afgang</t>
  </si>
  <si>
    <t>beregnet lager ultimo</t>
  </si>
  <si>
    <t>Faktisk optalt lager</t>
  </si>
  <si>
    <t>kr</t>
  </si>
  <si>
    <t>Faktisk indkøbspris</t>
  </si>
  <si>
    <t>Faktisk salgsprovision pr stk.</t>
  </si>
  <si>
    <t>Realiseret DB (5.3)</t>
  </si>
  <si>
    <t>Salgsprisafvigelse: 5.1</t>
  </si>
  <si>
    <t>Indkøbsprisafvigelse: 5.1</t>
  </si>
  <si>
    <t>Lønsatsafvigelse: 5.2</t>
  </si>
  <si>
    <t>5.3</t>
  </si>
  <si>
    <t>(vi skal mindst spare 370.100 i adm omk.)</t>
  </si>
  <si>
    <t xml:space="preserve">Resultatkontrol </t>
  </si>
</sst>
</file>

<file path=xl/styles.xml><?xml version="1.0" encoding="utf-8"?>
<styleSheet xmlns="http://schemas.openxmlformats.org/spreadsheetml/2006/main">
  <numFmts count="5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_(* #,##0.0_);_(* \(#,##0.0\);_(* &quot;-&quot;??_);_(@_)"/>
    <numFmt numFmtId="165" formatCode="_(* #,##0_);_(* \(#,##0\);_(* &quot;-&quot;??_);_(@_)"/>
    <numFmt numFmtId="166" formatCode="0.0"/>
    <numFmt numFmtId="167" formatCode="&quot;kr&quot;\ #,##0.0_);[Red]\(&quot;kr&quot;\ #,##0.0\)"/>
    <numFmt numFmtId="168" formatCode="&quot;kr&quot;\ #,##0.000_);[Red]\(&quot;kr&quot;\ #,##0.000\)"/>
    <numFmt numFmtId="169" formatCode="&quot;kr&quot;\ #,##0.0000_);[Red]\(&quot;kr&quot;\ #,##0.0000\)"/>
    <numFmt numFmtId="170" formatCode="0.0%"/>
    <numFmt numFmtId="171" formatCode="0.00000000"/>
    <numFmt numFmtId="172" formatCode="0.0000000"/>
    <numFmt numFmtId="173" formatCode="0.000000"/>
    <numFmt numFmtId="174" formatCode="0.00000"/>
    <numFmt numFmtId="175" formatCode="0.0000"/>
    <numFmt numFmtId="176" formatCode="0.000"/>
    <numFmt numFmtId="177" formatCode="0.000%"/>
    <numFmt numFmtId="178" formatCode="0.0000%"/>
    <numFmt numFmtId="179" formatCode="0.00000%"/>
    <numFmt numFmtId="180" formatCode="0.000000%"/>
    <numFmt numFmtId="181" formatCode="#,##0.0"/>
    <numFmt numFmtId="182" formatCode="#,##0.000"/>
    <numFmt numFmtId="183" formatCode="#,##0.0000"/>
    <numFmt numFmtId="184" formatCode="#,##0.00000"/>
    <numFmt numFmtId="185" formatCode="_(* #,##0.000_);_(* \(#,##0.000\);_(* &quot;-&quot;???_);_(@_)"/>
    <numFmt numFmtId="186" formatCode="_(* #,##0.00_);_(* \(#,##0.00\);_(* &quot;-&quot;???_);_(@_)"/>
    <numFmt numFmtId="187" formatCode="_(* #,##0.0_);_(* \(#,##0.0\);_(* &quot;-&quot;???_);_(@_)"/>
    <numFmt numFmtId="188" formatCode="_(* #,##0_);_(* \(#,##0\);_(* &quot;-&quot;???_);_(@_)"/>
    <numFmt numFmtId="189" formatCode="#,##0.000000"/>
    <numFmt numFmtId="190" formatCode="#,##0.0000000"/>
    <numFmt numFmtId="191" formatCode="_(* #,##0.000_);_(* \(#,##0.000\);_(* &quot;-&quot;??_);_(@_)"/>
    <numFmt numFmtId="192" formatCode="_(* #,##0.0000_);_(* \(#,##0.0000\);_(* &quot;-&quot;??_);_(@_)"/>
    <numFmt numFmtId="193" formatCode="#,##0;[Red]#,##0"/>
    <numFmt numFmtId="194" formatCode="#,##0.0;[Red]#,##0.0"/>
    <numFmt numFmtId="195" formatCode="0.0000000000"/>
    <numFmt numFmtId="196" formatCode="0.000000000"/>
    <numFmt numFmtId="197" formatCode="####"/>
    <numFmt numFmtId="198" formatCode="#,##0.000_);\(#,##0.000\)"/>
    <numFmt numFmtId="199" formatCode="#,##0.0_);\(#,##0.0\)"/>
    <numFmt numFmtId="200" formatCode="&quot;Ja&quot;;&quot;Ja&quot;;&quot;Nej&quot;"/>
    <numFmt numFmtId="201" formatCode="&quot;Sand&quot;;&quot;Sand&quot;;&quot;Falsk&quot;"/>
    <numFmt numFmtId="202" formatCode="&quot;Til&quot;;&quot;Til&quot;;&quot;Fra&quot;"/>
    <numFmt numFmtId="203" formatCode="[$€-2]\ #.##000_);[Red]\([$€-2]\ #.##000\)"/>
    <numFmt numFmtId="204" formatCode="_(* #,##0.0_);_(* \(#,##0.0\);_(* &quot;-&quot;?_);_(@_)"/>
    <numFmt numFmtId="205" formatCode="_(* #,##0.0000_);_(* \(#,##0.0000\);_(* &quot;-&quot;????_);_(@_)"/>
  </numFmts>
  <fonts count="30">
    <font>
      <sz val="10"/>
      <name val="Arial"/>
      <family val="0"/>
    </font>
    <font>
      <vertAlign val="superscript"/>
      <sz val="14"/>
      <name val="Arial"/>
      <family val="2"/>
    </font>
    <font>
      <vertAlign val="subscript"/>
      <sz val="14"/>
      <name val="Arial"/>
      <family val="2"/>
    </font>
    <font>
      <b/>
      <sz val="14"/>
      <name val="Arial"/>
      <family val="2"/>
    </font>
    <font>
      <b/>
      <sz val="11"/>
      <name val="Arial"/>
      <family val="2"/>
    </font>
    <font>
      <sz val="12"/>
      <name val="Arial"/>
      <family val="2"/>
    </font>
    <font>
      <b/>
      <sz val="12"/>
      <name val="Arial"/>
      <family val="2"/>
    </font>
    <font>
      <sz val="14"/>
      <name val="Arial"/>
      <family val="0"/>
    </font>
    <font>
      <b/>
      <sz val="10"/>
      <name val="Arial"/>
      <family val="2"/>
    </font>
    <font>
      <sz val="8"/>
      <name val="Tahoma"/>
      <family val="0"/>
    </font>
    <font>
      <sz val="20"/>
      <name val="Tahoma"/>
      <family val="2"/>
    </font>
    <font>
      <u val="single"/>
      <sz val="10"/>
      <color indexed="36"/>
      <name val="Arial"/>
      <family val="0"/>
    </font>
    <font>
      <u val="single"/>
      <sz val="10"/>
      <color indexed="12"/>
      <name val="Arial"/>
      <family val="0"/>
    </font>
    <font>
      <b/>
      <vertAlign val="superscript"/>
      <sz val="12"/>
      <name val="Arial"/>
      <family val="2"/>
    </font>
    <font>
      <sz val="14"/>
      <color indexed="13"/>
      <name val="Arial"/>
      <family val="2"/>
    </font>
    <font>
      <b/>
      <sz val="20"/>
      <name val="Arial"/>
      <family val="2"/>
    </font>
    <font>
      <sz val="8"/>
      <name val="Arial"/>
      <family val="0"/>
    </font>
    <font>
      <sz val="16"/>
      <name val="Arial"/>
      <family val="2"/>
    </font>
    <font>
      <sz val="22"/>
      <name val="Arial"/>
      <family val="2"/>
    </font>
    <font>
      <vertAlign val="superscript"/>
      <sz val="16"/>
      <name val="Arial"/>
      <family val="0"/>
    </font>
    <font>
      <sz val="18"/>
      <name val="Arial"/>
      <family val="0"/>
    </font>
    <font>
      <b/>
      <sz val="18"/>
      <name val="Arial"/>
      <family val="2"/>
    </font>
    <font>
      <b/>
      <sz val="22"/>
      <name val="Arial"/>
      <family val="2"/>
    </font>
    <font>
      <b/>
      <sz val="16"/>
      <name val="Arial"/>
      <family val="2"/>
    </font>
    <font>
      <b/>
      <sz val="8"/>
      <name val="Tahoma"/>
      <family val="0"/>
    </font>
    <font>
      <b/>
      <sz val="14"/>
      <name val="Tahoma"/>
      <family val="2"/>
    </font>
    <font>
      <sz val="14"/>
      <name val="Tahoma"/>
      <family val="2"/>
    </font>
    <font>
      <b/>
      <sz val="16"/>
      <name val="Tahoma"/>
      <family val="2"/>
    </font>
    <font>
      <sz val="24"/>
      <name val="Arial"/>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double"/>
    </border>
    <border>
      <left style="medium"/>
      <right>
        <color indexed="63"/>
      </right>
      <top style="medium"/>
      <bottom style="medium"/>
    </border>
    <border>
      <left>
        <color indexed="63"/>
      </left>
      <right style="medium"/>
      <top style="thin"/>
      <bottom style="double"/>
    </border>
    <border>
      <left>
        <color indexed="63"/>
      </left>
      <right>
        <color indexed="63"/>
      </right>
      <top>
        <color indexed="63"/>
      </top>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76">
    <xf numFmtId="0" fontId="0" fillId="0" borderId="0" xfId="0" applyAlignment="1">
      <alignment/>
    </xf>
    <xf numFmtId="165" fontId="0" fillId="0" borderId="0" xfId="0" applyNumberForma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1" xfId="0" applyFont="1" applyFill="1" applyBorder="1" applyAlignment="1">
      <alignment/>
    </xf>
    <xf numFmtId="0" fontId="4" fillId="0" borderId="2" xfId="0" applyFont="1" applyFill="1" applyBorder="1" applyAlignment="1">
      <alignment/>
    </xf>
    <xf numFmtId="0" fontId="4" fillId="0" borderId="4" xfId="0" applyFont="1" applyFill="1" applyBorder="1" applyAlignment="1">
      <alignment wrapText="1"/>
    </xf>
    <xf numFmtId="0" fontId="6" fillId="0" borderId="0" xfId="0" applyFont="1" applyAlignment="1">
      <alignment/>
    </xf>
    <xf numFmtId="0" fontId="4" fillId="0" borderId="3" xfId="0" applyFont="1" applyFill="1" applyBorder="1" applyAlignment="1">
      <alignment/>
    </xf>
    <xf numFmtId="43" fontId="2" fillId="0" borderId="0" xfId="15" applyFont="1" applyBorder="1" applyAlignment="1">
      <alignment/>
    </xf>
    <xf numFmtId="165" fontId="2" fillId="0" borderId="0" xfId="15" applyNumberFormat="1" applyFont="1" applyBorder="1" applyAlignment="1">
      <alignment/>
    </xf>
    <xf numFmtId="43" fontId="1" fillId="0" borderId="0" xfId="15" applyFont="1" applyBorder="1" applyAlignment="1">
      <alignment/>
    </xf>
    <xf numFmtId="43" fontId="0" fillId="0" borderId="0" xfId="15" applyBorder="1" applyAlignment="1">
      <alignment/>
    </xf>
    <xf numFmtId="0" fontId="5" fillId="2" borderId="0" xfId="0" applyFont="1" applyFill="1" applyAlignment="1">
      <alignment horizontal="center"/>
    </xf>
    <xf numFmtId="0" fontId="5" fillId="3" borderId="0" xfId="0" applyFont="1" applyFill="1" applyAlignment="1">
      <alignment horizontal="center"/>
    </xf>
    <xf numFmtId="0" fontId="5" fillId="4" borderId="0" xfId="0" applyFont="1" applyFill="1" applyAlignment="1">
      <alignment horizontal="center"/>
    </xf>
    <xf numFmtId="165" fontId="2" fillId="5" borderId="0" xfId="15" applyNumberFormat="1" applyFont="1" applyFill="1" applyBorder="1" applyAlignment="1">
      <alignment/>
    </xf>
    <xf numFmtId="0" fontId="7" fillId="0" borderId="0" xfId="0" applyFont="1" applyAlignment="1">
      <alignment horizontal="center"/>
    </xf>
    <xf numFmtId="0" fontId="0" fillId="0" borderId="0" xfId="0" applyAlignment="1">
      <alignment/>
    </xf>
    <xf numFmtId="0" fontId="4" fillId="0" borderId="5" xfId="0" applyFont="1" applyFill="1" applyBorder="1" applyAlignment="1">
      <alignment wrapText="1"/>
    </xf>
    <xf numFmtId="0" fontId="0" fillId="0" borderId="5" xfId="0" applyBorder="1" applyAlignment="1">
      <alignment/>
    </xf>
    <xf numFmtId="165" fontId="0" fillId="0" borderId="5" xfId="15" applyNumberFormat="1" applyBorder="1" applyAlignment="1">
      <alignment/>
    </xf>
    <xf numFmtId="0" fontId="0" fillId="0" borderId="6" xfId="0" applyBorder="1" applyAlignment="1">
      <alignment/>
    </xf>
    <xf numFmtId="0" fontId="0" fillId="0" borderId="7" xfId="0" applyBorder="1" applyAlignment="1">
      <alignment/>
    </xf>
    <xf numFmtId="2" fontId="0" fillId="0" borderId="7" xfId="15" applyNumberFormat="1" applyBorder="1" applyAlignment="1">
      <alignment/>
    </xf>
    <xf numFmtId="2" fontId="0" fillId="0" borderId="7" xfId="0" applyNumberFormat="1" applyBorder="1" applyAlignment="1">
      <alignment/>
    </xf>
    <xf numFmtId="165" fontId="0" fillId="0" borderId="8" xfId="15" applyNumberFormat="1" applyBorder="1" applyAlignment="1">
      <alignment/>
    </xf>
    <xf numFmtId="0" fontId="0" fillId="0" borderId="9" xfId="0" applyBorder="1" applyAlignment="1">
      <alignment/>
    </xf>
    <xf numFmtId="0" fontId="0" fillId="0" borderId="0" xfId="0" applyBorder="1" applyAlignment="1">
      <alignment/>
    </xf>
    <xf numFmtId="2" fontId="0" fillId="0" borderId="0" xfId="15" applyNumberFormat="1" applyBorder="1" applyAlignment="1">
      <alignment/>
    </xf>
    <xf numFmtId="2" fontId="0" fillId="0" borderId="0" xfId="0" applyNumberFormat="1" applyBorder="1" applyAlignment="1">
      <alignment/>
    </xf>
    <xf numFmtId="165" fontId="0" fillId="0" borderId="10" xfId="15" applyNumberFormat="1" applyBorder="1" applyAlignment="1">
      <alignment/>
    </xf>
    <xf numFmtId="0" fontId="0" fillId="0" borderId="11" xfId="0" applyBorder="1" applyAlignment="1">
      <alignment/>
    </xf>
    <xf numFmtId="0" fontId="0" fillId="0" borderId="12" xfId="0" applyBorder="1" applyAlignment="1">
      <alignment/>
    </xf>
    <xf numFmtId="2" fontId="0" fillId="0" borderId="12" xfId="15" applyNumberFormat="1" applyBorder="1" applyAlignment="1">
      <alignment/>
    </xf>
    <xf numFmtId="2" fontId="0" fillId="0" borderId="12" xfId="0" applyNumberFormat="1" applyBorder="1" applyAlignment="1">
      <alignment/>
    </xf>
    <xf numFmtId="165" fontId="0" fillId="0" borderId="13" xfId="15" applyNumberFormat="1" applyBorder="1" applyAlignment="1">
      <alignment/>
    </xf>
    <xf numFmtId="0" fontId="7" fillId="0" borderId="0" xfId="0" applyFont="1" applyAlignment="1">
      <alignment horizontal="center" wrapText="1"/>
    </xf>
    <xf numFmtId="0" fontId="0" fillId="0" borderId="8" xfId="0" applyBorder="1" applyAlignment="1">
      <alignment/>
    </xf>
    <xf numFmtId="0" fontId="0" fillId="0" borderId="10" xfId="0" applyBorder="1" applyAlignment="1">
      <alignment/>
    </xf>
    <xf numFmtId="0" fontId="0" fillId="0" borderId="13" xfId="0" applyBorder="1" applyAlignment="1">
      <alignment/>
    </xf>
    <xf numFmtId="0" fontId="7" fillId="0" borderId="0" xfId="0" applyFont="1" applyAlignment="1">
      <alignment/>
    </xf>
    <xf numFmtId="2" fontId="0" fillId="0" borderId="0" xfId="0" applyNumberFormat="1" applyAlignment="1">
      <alignment/>
    </xf>
    <xf numFmtId="165" fontId="0" fillId="0" borderId="14" xfId="15" applyNumberFormat="1" applyBorder="1" applyAlignment="1">
      <alignment/>
    </xf>
    <xf numFmtId="0" fontId="0" fillId="0" borderId="15" xfId="0" applyBorder="1" applyAlignment="1">
      <alignment/>
    </xf>
    <xf numFmtId="0" fontId="0" fillId="0" borderId="16" xfId="0" applyBorder="1" applyAlignment="1">
      <alignment wrapText="1"/>
    </xf>
    <xf numFmtId="0" fontId="0" fillId="0" borderId="5" xfId="0" applyBorder="1" applyAlignment="1">
      <alignment wrapText="1"/>
    </xf>
    <xf numFmtId="0" fontId="8" fillId="0" borderId="5" xfId="0" applyFont="1" applyBorder="1" applyAlignment="1">
      <alignment/>
    </xf>
    <xf numFmtId="0" fontId="8" fillId="0" borderId="5" xfId="0" applyFont="1" applyBorder="1" applyAlignment="1">
      <alignment horizontal="center"/>
    </xf>
    <xf numFmtId="0" fontId="0" fillId="0" borderId="0" xfId="0" applyAlignment="1">
      <alignment horizontal="center"/>
    </xf>
    <xf numFmtId="0" fontId="0" fillId="0" borderId="17" xfId="0" applyBorder="1" applyAlignment="1">
      <alignment/>
    </xf>
    <xf numFmtId="0" fontId="0" fillId="0" borderId="14" xfId="0" applyBorder="1" applyAlignment="1">
      <alignment/>
    </xf>
    <xf numFmtId="0" fontId="0" fillId="0" borderId="5" xfId="0" applyFill="1" applyBorder="1" applyAlignment="1">
      <alignment/>
    </xf>
    <xf numFmtId="0" fontId="0" fillId="0" borderId="0" xfId="0" applyFont="1" applyAlignment="1">
      <alignment/>
    </xf>
    <xf numFmtId="165" fontId="0" fillId="0" borderId="0" xfId="15" applyNumberFormat="1" applyAlignment="1">
      <alignment/>
    </xf>
    <xf numFmtId="43" fontId="0" fillId="0" borderId="17" xfId="15" applyNumberFormat="1" applyBorder="1" applyAlignment="1">
      <alignment/>
    </xf>
    <xf numFmtId="43" fontId="0" fillId="0" borderId="18" xfId="15" applyNumberFormat="1" applyBorder="1" applyAlignment="1">
      <alignment/>
    </xf>
    <xf numFmtId="43" fontId="0" fillId="0" borderId="14" xfId="15" applyNumberFormat="1" applyBorder="1" applyAlignment="1">
      <alignment/>
    </xf>
    <xf numFmtId="43" fontId="0" fillId="0" borderId="10" xfId="15" applyNumberFormat="1" applyBorder="1" applyAlignment="1">
      <alignment/>
    </xf>
    <xf numFmtId="43" fontId="0" fillId="0" borderId="13" xfId="15" applyNumberFormat="1" applyBorder="1" applyAlignment="1">
      <alignment/>
    </xf>
    <xf numFmtId="43" fontId="0" fillId="6" borderId="0" xfId="15" applyNumberFormat="1" applyFill="1" applyAlignment="1">
      <alignment/>
    </xf>
    <xf numFmtId="43" fontId="0" fillId="0" borderId="0" xfId="0" applyNumberFormat="1" applyFont="1" applyAlignment="1">
      <alignment/>
    </xf>
    <xf numFmtId="165" fontId="0" fillId="0" borderId="14" xfId="15" applyNumberFormat="1" applyBorder="1" applyAlignment="1">
      <alignment/>
    </xf>
    <xf numFmtId="165" fontId="0" fillId="0" borderId="5" xfId="15" applyNumberFormat="1" applyBorder="1" applyAlignment="1">
      <alignment/>
    </xf>
    <xf numFmtId="43" fontId="0" fillId="0" borderId="0" xfId="15" applyBorder="1" applyAlignment="1">
      <alignment/>
    </xf>
    <xf numFmtId="43" fontId="0" fillId="6" borderId="0" xfId="15" applyNumberFormat="1" applyFill="1" applyAlignment="1">
      <alignment/>
    </xf>
    <xf numFmtId="165" fontId="0" fillId="0" borderId="0" xfId="15" applyNumberFormat="1" applyAlignment="1">
      <alignment/>
    </xf>
    <xf numFmtId="2" fontId="0" fillId="0" borderId="7" xfId="15" applyNumberFormat="1" applyBorder="1" applyAlignment="1">
      <alignment/>
    </xf>
    <xf numFmtId="43" fontId="0" fillId="0" borderId="18" xfId="15" applyNumberFormat="1" applyBorder="1" applyAlignment="1">
      <alignment/>
    </xf>
    <xf numFmtId="165" fontId="0" fillId="0" borderId="8" xfId="15" applyNumberFormat="1" applyBorder="1" applyAlignment="1">
      <alignment/>
    </xf>
    <xf numFmtId="2" fontId="0" fillId="0" borderId="0" xfId="15" applyNumberFormat="1" applyBorder="1" applyAlignment="1">
      <alignment/>
    </xf>
    <xf numFmtId="43" fontId="0" fillId="0" borderId="17" xfId="15" applyNumberFormat="1" applyBorder="1" applyAlignment="1">
      <alignment/>
    </xf>
    <xf numFmtId="165" fontId="0" fillId="0" borderId="10" xfId="15" applyNumberFormat="1" applyBorder="1" applyAlignment="1">
      <alignment/>
    </xf>
    <xf numFmtId="43" fontId="0" fillId="0" borderId="14" xfId="15" applyNumberFormat="1" applyBorder="1" applyAlignment="1">
      <alignment/>
    </xf>
    <xf numFmtId="165" fontId="0" fillId="0" borderId="13" xfId="15" applyNumberFormat="1" applyBorder="1" applyAlignment="1">
      <alignment/>
    </xf>
    <xf numFmtId="43" fontId="0" fillId="0" borderId="10" xfId="15" applyNumberFormat="1" applyBorder="1" applyAlignment="1">
      <alignment/>
    </xf>
    <xf numFmtId="2" fontId="0" fillId="0" borderId="12" xfId="15" applyNumberFormat="1" applyBorder="1" applyAlignment="1">
      <alignment/>
    </xf>
    <xf numFmtId="43" fontId="0" fillId="0" borderId="13" xfId="15" applyNumberFormat="1" applyBorder="1" applyAlignment="1">
      <alignment/>
    </xf>
    <xf numFmtId="0" fontId="0" fillId="0" borderId="0" xfId="0" applyAlignment="1" quotePrefix="1">
      <alignment/>
    </xf>
    <xf numFmtId="43" fontId="0" fillId="0" borderId="0" xfId="15" applyAlignment="1">
      <alignment/>
    </xf>
    <xf numFmtId="43" fontId="0" fillId="0" borderId="0" xfId="0" applyNumberFormat="1" applyAlignment="1">
      <alignment/>
    </xf>
    <xf numFmtId="165" fontId="0" fillId="0" borderId="0" xfId="0" applyNumberFormat="1" applyAlignment="1">
      <alignment/>
    </xf>
    <xf numFmtId="165" fontId="0" fillId="0" borderId="0" xfId="15" applyNumberFormat="1" applyFont="1" applyAlignment="1">
      <alignment/>
    </xf>
    <xf numFmtId="43" fontId="0" fillId="0" borderId="0" xfId="0" applyNumberFormat="1" applyAlignment="1">
      <alignment/>
    </xf>
    <xf numFmtId="43" fontId="0" fillId="0" borderId="19" xfId="0" applyNumberFormat="1" applyBorder="1" applyAlignment="1">
      <alignment/>
    </xf>
    <xf numFmtId="165" fontId="0" fillId="0" borderId="19" xfId="15" applyNumberFormat="1" applyBorder="1" applyAlignment="1">
      <alignment/>
    </xf>
    <xf numFmtId="165" fontId="0" fillId="0" borderId="19" xfId="15" applyNumberFormat="1" applyBorder="1" applyAlignment="1">
      <alignment/>
    </xf>
    <xf numFmtId="0" fontId="0" fillId="0" borderId="0" xfId="0" applyBorder="1" applyAlignment="1">
      <alignment/>
    </xf>
    <xf numFmtId="0" fontId="7" fillId="0" borderId="0" xfId="0" applyFont="1" applyBorder="1" applyAlignment="1">
      <alignment/>
    </xf>
    <xf numFmtId="43" fontId="0" fillId="0" borderId="0" xfId="15" applyBorder="1" applyAlignment="1">
      <alignment/>
    </xf>
    <xf numFmtId="2" fontId="0" fillId="0" borderId="0" xfId="0" applyNumberFormat="1" applyBorder="1" applyAlignment="1">
      <alignment/>
    </xf>
    <xf numFmtId="43" fontId="0" fillId="0" borderId="0" xfId="0" applyNumberFormat="1" applyBorder="1" applyAlignment="1">
      <alignment/>
    </xf>
    <xf numFmtId="165" fontId="0" fillId="0" borderId="0" xfId="0" applyNumberFormat="1" applyBorder="1" applyAlignment="1">
      <alignment/>
    </xf>
    <xf numFmtId="165" fontId="0" fillId="0" borderId="0" xfId="15" applyNumberFormat="1" applyBorder="1" applyAlignment="1">
      <alignment/>
    </xf>
    <xf numFmtId="165" fontId="0" fillId="0" borderId="0" xfId="15" applyNumberFormat="1" applyFont="1" applyBorder="1" applyAlignment="1">
      <alignment/>
    </xf>
    <xf numFmtId="43" fontId="0" fillId="0" borderId="0" xfId="0" applyNumberFormat="1" applyBorder="1" applyAlignment="1">
      <alignment/>
    </xf>
    <xf numFmtId="0" fontId="0" fillId="0" borderId="0" xfId="0" applyFont="1" applyBorder="1" applyAlignment="1">
      <alignment/>
    </xf>
    <xf numFmtId="0" fontId="0" fillId="0" borderId="0" xfId="0" applyFill="1" applyBorder="1" applyAlignment="1">
      <alignment/>
    </xf>
    <xf numFmtId="0" fontId="3" fillId="0" borderId="0" xfId="0" applyFont="1" applyAlignment="1">
      <alignment/>
    </xf>
    <xf numFmtId="165" fontId="7" fillId="0" borderId="0" xfId="15" applyNumberFormat="1" applyFont="1" applyAlignment="1">
      <alignment/>
    </xf>
    <xf numFmtId="0" fontId="3" fillId="0" borderId="0" xfId="0" applyFont="1" applyAlignment="1" quotePrefix="1">
      <alignment/>
    </xf>
    <xf numFmtId="0" fontId="5" fillId="2" borderId="0" xfId="0" applyFont="1" applyFill="1" applyAlignment="1">
      <alignment horizontal="left" indent="1"/>
    </xf>
    <xf numFmtId="10" fontId="5" fillId="2" borderId="0" xfId="0" applyNumberFormat="1" applyFont="1" applyFill="1" applyAlignment="1">
      <alignment horizontal="left" indent="1"/>
    </xf>
    <xf numFmtId="0" fontId="6" fillId="0" borderId="5" xfId="0" applyFont="1" applyBorder="1" applyAlignment="1">
      <alignment wrapText="1"/>
    </xf>
    <xf numFmtId="0" fontId="6" fillId="2" borderId="16" xfId="0" applyFont="1" applyFill="1" applyBorder="1" applyAlignment="1">
      <alignment/>
    </xf>
    <xf numFmtId="0" fontId="6" fillId="2" borderId="5" xfId="0" applyFont="1" applyFill="1" applyBorder="1" applyAlignment="1">
      <alignment/>
    </xf>
    <xf numFmtId="0" fontId="6" fillId="0" borderId="16" xfId="0" applyFont="1" applyBorder="1" applyAlignment="1">
      <alignment wrapText="1"/>
    </xf>
    <xf numFmtId="0" fontId="7" fillId="0" borderId="18" xfId="0" applyFont="1" applyBorder="1" applyAlignment="1">
      <alignment/>
    </xf>
    <xf numFmtId="3" fontId="7" fillId="2" borderId="7" xfId="0" applyNumberFormat="1" applyFont="1" applyFill="1" applyBorder="1" applyAlignment="1">
      <alignment/>
    </xf>
    <xf numFmtId="3" fontId="7" fillId="2" borderId="18" xfId="0" applyNumberFormat="1" applyFont="1" applyFill="1" applyBorder="1" applyAlignment="1">
      <alignment/>
    </xf>
    <xf numFmtId="3" fontId="7" fillId="0" borderId="18" xfId="0" applyNumberFormat="1" applyFont="1" applyBorder="1" applyAlignment="1">
      <alignment/>
    </xf>
    <xf numFmtId="184" fontId="7" fillId="0" borderId="18" xfId="0" applyNumberFormat="1" applyFont="1" applyBorder="1" applyAlignment="1">
      <alignment horizontal="right"/>
    </xf>
    <xf numFmtId="4" fontId="7" fillId="0" borderId="18" xfId="0" applyNumberFormat="1" applyFont="1" applyBorder="1" applyAlignment="1">
      <alignment/>
    </xf>
    <xf numFmtId="0" fontId="7" fillId="0" borderId="17" xfId="0" applyFont="1" applyBorder="1" applyAlignment="1">
      <alignment/>
    </xf>
    <xf numFmtId="3" fontId="7" fillId="2" borderId="0" xfId="0" applyNumberFormat="1" applyFont="1" applyFill="1" applyBorder="1" applyAlignment="1">
      <alignment/>
    </xf>
    <xf numFmtId="3" fontId="7" fillId="2" borderId="17" xfId="0" applyNumberFormat="1" applyFont="1" applyFill="1" applyBorder="1" applyAlignment="1">
      <alignment/>
    </xf>
    <xf numFmtId="3" fontId="7" fillId="0" borderId="17" xfId="0" applyNumberFormat="1" applyFont="1" applyBorder="1" applyAlignment="1">
      <alignment/>
    </xf>
    <xf numFmtId="184" fontId="7" fillId="0" borderId="17" xfId="0" applyNumberFormat="1" applyFont="1" applyBorder="1" applyAlignment="1">
      <alignment horizontal="right"/>
    </xf>
    <xf numFmtId="4" fontId="7" fillId="0" borderId="17" xfId="0" applyNumberFormat="1" applyFont="1" applyBorder="1" applyAlignment="1">
      <alignment/>
    </xf>
    <xf numFmtId="9" fontId="0" fillId="0" borderId="0" xfId="0" applyNumberFormat="1" applyAlignment="1">
      <alignment/>
    </xf>
    <xf numFmtId="0" fontId="7" fillId="0" borderId="14" xfId="0" applyFont="1" applyBorder="1" applyAlignment="1">
      <alignment/>
    </xf>
    <xf numFmtId="3" fontId="7" fillId="2" borderId="12" xfId="0" applyNumberFormat="1" applyFont="1" applyFill="1" applyBorder="1" applyAlignment="1">
      <alignment/>
    </xf>
    <xf numFmtId="3" fontId="7" fillId="2" borderId="14" xfId="0" applyNumberFormat="1" applyFont="1" applyFill="1" applyBorder="1" applyAlignment="1">
      <alignment/>
    </xf>
    <xf numFmtId="3" fontId="7" fillId="0" borderId="14" xfId="0" applyNumberFormat="1" applyFont="1" applyBorder="1" applyAlignment="1">
      <alignment/>
    </xf>
    <xf numFmtId="184" fontId="7" fillId="0" borderId="14" xfId="0" applyNumberFormat="1" applyFont="1" applyBorder="1" applyAlignment="1">
      <alignment horizontal="right"/>
    </xf>
    <xf numFmtId="4" fontId="7" fillId="0" borderId="14" xfId="0" applyNumberFormat="1" applyFont="1" applyBorder="1" applyAlignment="1">
      <alignment/>
    </xf>
    <xf numFmtId="0" fontId="7" fillId="4" borderId="11" xfId="0" applyFont="1" applyFill="1" applyBorder="1" applyAlignment="1">
      <alignment/>
    </xf>
    <xf numFmtId="0" fontId="7" fillId="4" borderId="12" xfId="0" applyFont="1" applyFill="1" applyBorder="1" applyAlignment="1">
      <alignment/>
    </xf>
    <xf numFmtId="4" fontId="7" fillId="4" borderId="13" xfId="0" applyNumberFormat="1" applyFont="1" applyFill="1" applyBorder="1" applyAlignment="1">
      <alignment/>
    </xf>
    <xf numFmtId="40" fontId="7" fillId="0" borderId="0" xfId="0" applyNumberFormat="1" applyFont="1" applyFill="1" applyBorder="1" applyAlignment="1">
      <alignment/>
    </xf>
    <xf numFmtId="40" fontId="7" fillId="4" borderId="14" xfId="0" applyNumberFormat="1" applyFont="1" applyFill="1" applyBorder="1" applyAlignment="1">
      <alignment/>
    </xf>
    <xf numFmtId="0" fontId="7" fillId="0" borderId="0" xfId="0" applyFont="1" applyAlignment="1">
      <alignment/>
    </xf>
    <xf numFmtId="0" fontId="7" fillId="4" borderId="9" xfId="0" applyFont="1" applyFill="1" applyBorder="1" applyAlignment="1">
      <alignment/>
    </xf>
    <xf numFmtId="0" fontId="14" fillId="4" borderId="0" xfId="0" applyFont="1" applyFill="1" applyBorder="1" applyAlignment="1">
      <alignment/>
    </xf>
    <xf numFmtId="4" fontId="7" fillId="4" borderId="10" xfId="0" applyNumberFormat="1" applyFont="1" applyFill="1" applyBorder="1" applyAlignment="1">
      <alignment/>
    </xf>
    <xf numFmtId="4" fontId="7" fillId="0" borderId="0" xfId="0" applyNumberFormat="1" applyFont="1" applyFill="1" applyBorder="1" applyAlignment="1">
      <alignment/>
    </xf>
    <xf numFmtId="0" fontId="7" fillId="4" borderId="20" xfId="0" applyFont="1" applyFill="1" applyBorder="1" applyAlignment="1">
      <alignment/>
    </xf>
    <xf numFmtId="0" fontId="7" fillId="4" borderId="15" xfId="0" applyFont="1" applyFill="1" applyBorder="1" applyAlignment="1">
      <alignment/>
    </xf>
    <xf numFmtId="10" fontId="7" fillId="4" borderId="16" xfId="0" applyNumberFormat="1" applyFont="1" applyFill="1" applyBorder="1" applyAlignment="1">
      <alignment/>
    </xf>
    <xf numFmtId="10" fontId="7" fillId="0" borderId="0" xfId="0" applyNumberFormat="1" applyFont="1" applyFill="1" applyBorder="1" applyAlignment="1">
      <alignment/>
    </xf>
    <xf numFmtId="2" fontId="7" fillId="4" borderId="13" xfId="0" applyNumberFormat="1" applyFont="1" applyFill="1" applyBorder="1" applyAlignment="1">
      <alignment/>
    </xf>
    <xf numFmtId="2" fontId="7" fillId="0" borderId="0" xfId="0" applyNumberFormat="1" applyFont="1" applyFill="1" applyBorder="1" applyAlignment="1">
      <alignment/>
    </xf>
    <xf numFmtId="0" fontId="0" fillId="0" borderId="9" xfId="0" applyFill="1" applyBorder="1" applyAlignment="1">
      <alignment/>
    </xf>
    <xf numFmtId="4" fontId="0" fillId="0" borderId="0" xfId="0" applyNumberFormat="1" applyAlignment="1">
      <alignment/>
    </xf>
    <xf numFmtId="8" fontId="0" fillId="0" borderId="0" xfId="0" applyNumberFormat="1" applyAlignment="1">
      <alignment/>
    </xf>
    <xf numFmtId="0" fontId="7" fillId="0" borderId="0" xfId="0" applyFont="1" applyAlignment="1">
      <alignment/>
    </xf>
    <xf numFmtId="3" fontId="0" fillId="7" borderId="8" xfId="15" applyNumberFormat="1" applyFill="1" applyBorder="1" applyAlignment="1" applyProtection="1">
      <alignment/>
      <protection locked="0"/>
    </xf>
    <xf numFmtId="0" fontId="0" fillId="0" borderId="9" xfId="0" applyBorder="1" applyAlignment="1">
      <alignment horizontal="left"/>
    </xf>
    <xf numFmtId="0" fontId="0" fillId="0" borderId="0" xfId="0" applyBorder="1" applyAlignment="1">
      <alignment horizontal="left"/>
    </xf>
    <xf numFmtId="1" fontId="0" fillId="7" borderId="10" xfId="0" applyNumberFormat="1" applyFill="1" applyBorder="1" applyAlignment="1" applyProtection="1">
      <alignment/>
      <protection locked="0"/>
    </xf>
    <xf numFmtId="3" fontId="0" fillId="7" borderId="10" xfId="0" applyNumberFormat="1" applyFill="1" applyBorder="1" applyAlignment="1" applyProtection="1">
      <alignment/>
      <protection locked="0"/>
    </xf>
    <xf numFmtId="188" fontId="0" fillId="0" borderId="21" xfId="0" applyNumberFormat="1" applyBorder="1" applyAlignment="1">
      <alignment/>
    </xf>
    <xf numFmtId="170" fontId="0" fillId="7" borderId="10" xfId="21" applyNumberFormat="1" applyFill="1" applyBorder="1" applyAlignment="1">
      <alignment/>
    </xf>
    <xf numFmtId="3" fontId="0" fillId="7" borderId="10" xfId="0" applyNumberFormat="1" applyFill="1" applyBorder="1" applyAlignment="1">
      <alignment/>
    </xf>
    <xf numFmtId="0" fontId="0" fillId="0" borderId="10" xfId="0" applyFill="1" applyBorder="1" applyAlignment="1" applyProtection="1">
      <alignment/>
      <protection locked="0"/>
    </xf>
    <xf numFmtId="170" fontId="0" fillId="0" borderId="10" xfId="0" applyNumberFormat="1" applyFill="1" applyBorder="1" applyAlignment="1" applyProtection="1">
      <alignment/>
      <protection locked="0"/>
    </xf>
    <xf numFmtId="3" fontId="0" fillId="0" borderId="10" xfId="0" applyNumberFormat="1" applyBorder="1" applyAlignment="1">
      <alignment/>
    </xf>
    <xf numFmtId="0" fontId="0" fillId="0" borderId="10" xfId="0" applyBorder="1" applyAlignment="1">
      <alignment horizontal="left"/>
    </xf>
    <xf numFmtId="10" fontId="3" fillId="0" borderId="10" xfId="21" applyNumberFormat="1" applyFont="1" applyFill="1" applyBorder="1"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10" fontId="0" fillId="0" borderId="12" xfId="0" applyNumberFormat="1" applyFill="1" applyBorder="1" applyAlignment="1">
      <alignment/>
    </xf>
    <xf numFmtId="0" fontId="0" fillId="0" borderId="12" xfId="0" applyFill="1" applyBorder="1" applyAlignment="1">
      <alignment/>
    </xf>
    <xf numFmtId="0" fontId="0" fillId="0" borderId="13" xfId="0" applyFill="1" applyBorder="1" applyAlignment="1">
      <alignment/>
    </xf>
    <xf numFmtId="0" fontId="8" fillId="0" borderId="9" xfId="0" applyFont="1" applyFill="1" applyBorder="1" applyAlignment="1">
      <alignment/>
    </xf>
    <xf numFmtId="0" fontId="8" fillId="0" borderId="0" xfId="0" applyFont="1" applyFill="1" applyBorder="1" applyAlignment="1">
      <alignment/>
    </xf>
    <xf numFmtId="0" fontId="0" fillId="0" borderId="0" xfId="0" applyBorder="1" applyAlignment="1">
      <alignment wrapText="1"/>
    </xf>
    <xf numFmtId="0" fontId="0" fillId="0" borderId="0" xfId="0" applyBorder="1" applyAlignment="1">
      <alignment horizontal="center" wrapText="1"/>
    </xf>
    <xf numFmtId="0" fontId="0" fillId="0" borderId="10" xfId="0" applyBorder="1" applyAlignment="1">
      <alignment wrapText="1"/>
    </xf>
    <xf numFmtId="0" fontId="0" fillId="0" borderId="0" xfId="0" applyAlignment="1">
      <alignment wrapText="1"/>
    </xf>
    <xf numFmtId="3" fontId="0" fillId="0" borderId="0" xfId="0" applyNumberFormat="1" applyBorder="1" applyAlignment="1">
      <alignment/>
    </xf>
    <xf numFmtId="3" fontId="0" fillId="0" borderId="0" xfId="15" applyNumberFormat="1" applyBorder="1" applyAlignment="1">
      <alignment/>
    </xf>
    <xf numFmtId="0" fontId="0" fillId="0" borderId="20" xfId="0" applyBorder="1" applyAlignment="1">
      <alignment/>
    </xf>
    <xf numFmtId="3" fontId="0" fillId="0" borderId="15" xfId="0" applyNumberFormat="1" applyBorder="1" applyAlignment="1">
      <alignment/>
    </xf>
    <xf numFmtId="3" fontId="0" fillId="0" borderId="16" xfId="0" applyNumberFormat="1" applyBorder="1" applyAlignment="1">
      <alignment/>
    </xf>
    <xf numFmtId="0" fontId="18" fillId="0" borderId="0" xfId="0" applyFont="1" applyAlignment="1" applyProtection="1">
      <alignment horizontal="center" vertical="center"/>
      <protection locked="0"/>
    </xf>
    <xf numFmtId="0" fontId="7" fillId="0" borderId="12" xfId="0" applyFont="1" applyBorder="1" applyAlignment="1">
      <alignment/>
    </xf>
    <xf numFmtId="49" fontId="19" fillId="0" borderId="12" xfId="0" applyNumberFormat="1" applyFont="1" applyBorder="1" applyAlignment="1">
      <alignment/>
    </xf>
    <xf numFmtId="0" fontId="17" fillId="0" borderId="0" xfId="0" applyFont="1" applyBorder="1" applyAlignment="1">
      <alignment horizontal="center" vertical="center"/>
    </xf>
    <xf numFmtId="0" fontId="20" fillId="0" borderId="0" xfId="0" applyFont="1" applyBorder="1" applyAlignment="1">
      <alignment horizontal="left" vertical="center"/>
    </xf>
    <xf numFmtId="0" fontId="19" fillId="0" borderId="12" xfId="0" applyNumberFormat="1" applyFont="1" applyBorder="1" applyAlignment="1">
      <alignment horizontal="left"/>
    </xf>
    <xf numFmtId="3" fontId="17" fillId="0" borderId="0" xfId="0" applyNumberFormat="1" applyFont="1" applyAlignment="1">
      <alignment vertical="center"/>
    </xf>
    <xf numFmtId="0" fontId="20" fillId="0" borderId="0" xfId="0" applyFont="1" applyAlignment="1">
      <alignment horizontal="right" vertical="center"/>
    </xf>
    <xf numFmtId="165" fontId="17" fillId="0" borderId="0" xfId="15" applyNumberFormat="1" applyFont="1" applyBorder="1" applyAlignment="1">
      <alignment vertical="center" readingOrder="1"/>
    </xf>
    <xf numFmtId="0" fontId="19" fillId="0" borderId="12" xfId="0" applyFont="1" applyBorder="1" applyAlignment="1">
      <alignment horizontal="left"/>
    </xf>
    <xf numFmtId="0" fontId="18"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right"/>
    </xf>
    <xf numFmtId="0" fontId="18" fillId="0" borderId="0" xfId="0" applyFont="1" applyAlignment="1">
      <alignment horizontal="center"/>
    </xf>
    <xf numFmtId="175" fontId="17" fillId="0" borderId="0" xfId="21" applyNumberFormat="1" applyFont="1" applyAlignment="1">
      <alignment horizontal="center"/>
    </xf>
    <xf numFmtId="0" fontId="21" fillId="0" borderId="0" xfId="0" applyFont="1" applyAlignment="1">
      <alignment horizontal="right"/>
    </xf>
    <xf numFmtId="0" fontId="22" fillId="0" borderId="0" xfId="0" applyFont="1" applyAlignment="1">
      <alignment horizontal="center"/>
    </xf>
    <xf numFmtId="10" fontId="23" fillId="0" borderId="22" xfId="21" applyNumberFormat="1" applyFont="1" applyBorder="1" applyAlignment="1">
      <alignment horizontal="center"/>
    </xf>
    <xf numFmtId="0" fontId="7" fillId="0" borderId="0" xfId="0" applyFont="1" applyBorder="1" applyAlignment="1">
      <alignment horizontal="right"/>
    </xf>
    <xf numFmtId="3" fontId="1" fillId="0" borderId="0" xfId="0" applyNumberFormat="1" applyFont="1" applyBorder="1" applyAlignment="1">
      <alignment horizontal="left"/>
    </xf>
    <xf numFmtId="0" fontId="7" fillId="0" borderId="0" xfId="0" applyFont="1" applyAlignment="1">
      <alignment horizontal="right"/>
    </xf>
    <xf numFmtId="0" fontId="1" fillId="0" borderId="0" xfId="0" applyFont="1" applyBorder="1" applyAlignment="1">
      <alignment horizontal="left"/>
    </xf>
    <xf numFmtId="10" fontId="7" fillId="0" borderId="0" xfId="21" applyNumberFormat="1" applyFont="1" applyBorder="1" applyAlignment="1">
      <alignment horizontal="left"/>
    </xf>
    <xf numFmtId="10" fontId="7" fillId="0" borderId="0" xfId="0" applyNumberFormat="1" applyFont="1" applyAlignment="1">
      <alignment/>
    </xf>
    <xf numFmtId="0" fontId="7" fillId="0" borderId="0" xfId="0" applyFont="1" applyAlignment="1">
      <alignment/>
    </xf>
    <xf numFmtId="43" fontId="5" fillId="0" borderId="0" xfId="15" applyNumberFormat="1" applyFont="1" applyAlignment="1">
      <alignment/>
    </xf>
    <xf numFmtId="43" fontId="5" fillId="0" borderId="0" xfId="15" applyNumberFormat="1" applyFont="1" applyAlignment="1">
      <alignment/>
    </xf>
    <xf numFmtId="191" fontId="5" fillId="0" borderId="0" xfId="15" applyNumberFormat="1" applyFont="1" applyAlignment="1">
      <alignment/>
    </xf>
    <xf numFmtId="0" fontId="17" fillId="6" borderId="0" xfId="0" applyFont="1" applyFill="1" applyAlignment="1">
      <alignment/>
    </xf>
    <xf numFmtId="0" fontId="17" fillId="0" borderId="0" xfId="0" applyFont="1" applyFill="1" applyAlignment="1">
      <alignment/>
    </xf>
    <xf numFmtId="170" fontId="17" fillId="6" borderId="0" xfId="0" applyNumberFormat="1" applyFont="1" applyFill="1" applyAlignment="1">
      <alignment/>
    </xf>
    <xf numFmtId="9" fontId="17" fillId="0" borderId="0" xfId="21" applyFont="1" applyFill="1" applyAlignment="1">
      <alignment/>
    </xf>
    <xf numFmtId="0" fontId="17" fillId="0" borderId="12" xfId="0" applyFont="1" applyBorder="1" applyAlignment="1">
      <alignment/>
    </xf>
    <xf numFmtId="0" fontId="17" fillId="0" borderId="23" xfId="0" applyFont="1" applyBorder="1" applyAlignment="1">
      <alignment/>
    </xf>
    <xf numFmtId="0" fontId="17" fillId="0" borderId="24" xfId="0" applyFont="1" applyBorder="1" applyAlignment="1">
      <alignment/>
    </xf>
    <xf numFmtId="0" fontId="17" fillId="0" borderId="0" xfId="0" applyFont="1" applyAlignment="1">
      <alignment/>
    </xf>
    <xf numFmtId="0" fontId="17" fillId="0" borderId="25" xfId="0" applyFont="1" applyBorder="1" applyAlignment="1">
      <alignment/>
    </xf>
    <xf numFmtId="0" fontId="17" fillId="0" borderId="26" xfId="0" applyFont="1" applyBorder="1" applyAlignment="1">
      <alignment/>
    </xf>
    <xf numFmtId="0" fontId="23" fillId="0" borderId="0" xfId="0" applyFont="1" applyAlignment="1">
      <alignment/>
    </xf>
    <xf numFmtId="0" fontId="17" fillId="0" borderId="12" xfId="0" applyFont="1" applyBorder="1" applyAlignment="1">
      <alignment vertical="top"/>
    </xf>
    <xf numFmtId="0" fontId="28" fillId="0" borderId="12" xfId="0" applyFont="1" applyBorder="1" applyAlignment="1">
      <alignment horizontal="center" vertical="center"/>
    </xf>
    <xf numFmtId="0" fontId="17" fillId="0" borderId="12" xfId="0" applyFont="1" applyBorder="1" applyAlignment="1">
      <alignment wrapText="1"/>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wrapText="1"/>
    </xf>
    <xf numFmtId="0" fontId="28" fillId="0" borderId="0" xfId="0" applyFont="1" applyBorder="1" applyAlignment="1">
      <alignment horizontal="center" vertical="center"/>
    </xf>
    <xf numFmtId="0" fontId="17" fillId="0" borderId="0" xfId="0" applyFont="1" applyAlignment="1">
      <alignment vertical="center"/>
    </xf>
    <xf numFmtId="166" fontId="20" fillId="0" borderId="12" xfId="21" applyNumberFormat="1" applyFont="1" applyBorder="1" applyAlignment="1">
      <alignment/>
    </xf>
    <xf numFmtId="0" fontId="20" fillId="0" borderId="12" xfId="0" applyFont="1" applyBorder="1" applyAlignment="1">
      <alignment horizontal="center"/>
    </xf>
    <xf numFmtId="0" fontId="20" fillId="0" borderId="12" xfId="0" applyFont="1" applyBorder="1" applyAlignment="1">
      <alignment horizontal="left"/>
    </xf>
    <xf numFmtId="0" fontId="20" fillId="0" borderId="12" xfId="0" applyFont="1" applyBorder="1" applyAlignment="1">
      <alignment/>
    </xf>
    <xf numFmtId="194" fontId="20" fillId="0" borderId="0" xfId="0" applyNumberFormat="1" applyFont="1" applyAlignment="1">
      <alignment/>
    </xf>
    <xf numFmtId="0" fontId="20" fillId="0" borderId="0" xfId="0" applyFont="1" applyAlignment="1">
      <alignment horizontal="left"/>
    </xf>
    <xf numFmtId="0" fontId="20" fillId="0" borderId="0" xfId="0" applyFont="1" applyAlignment="1">
      <alignment/>
    </xf>
    <xf numFmtId="10" fontId="17" fillId="0" borderId="22" xfId="21" applyNumberFormat="1" applyFont="1" applyBorder="1" applyAlignment="1">
      <alignment horizontal="center" vertical="center"/>
    </xf>
    <xf numFmtId="10" fontId="17" fillId="0" borderId="0" xfId="21" applyNumberFormat="1" applyFont="1" applyAlignment="1">
      <alignment horizontal="center" vertical="center"/>
    </xf>
    <xf numFmtId="193" fontId="17" fillId="0" borderId="0" xfId="0" applyNumberFormat="1" applyFont="1" applyAlignment="1">
      <alignment/>
    </xf>
    <xf numFmtId="0" fontId="17" fillId="0" borderId="0" xfId="0" applyFont="1" applyAlignment="1">
      <alignment horizontal="center"/>
    </xf>
    <xf numFmtId="0" fontId="17" fillId="0" borderId="0" xfId="0" applyFont="1" applyAlignment="1">
      <alignment horizontal="left"/>
    </xf>
    <xf numFmtId="9" fontId="17" fillId="0" borderId="0" xfId="21" applyFont="1" applyAlignment="1">
      <alignment horizontal="center" vertical="center"/>
    </xf>
    <xf numFmtId="166" fontId="17" fillId="0" borderId="0" xfId="0" applyNumberFormat="1" applyFont="1" applyAlignment="1">
      <alignment/>
    </xf>
    <xf numFmtId="194" fontId="17" fillId="0" borderId="0" xfId="0" applyNumberFormat="1" applyFont="1" applyAlignment="1">
      <alignment/>
    </xf>
    <xf numFmtId="172" fontId="17" fillId="0" borderId="0" xfId="0" applyNumberFormat="1" applyFont="1" applyAlignment="1">
      <alignment horizontal="left"/>
    </xf>
    <xf numFmtId="193" fontId="17" fillId="0" borderId="0" xfId="0" applyNumberFormat="1" applyFont="1" applyAlignment="1">
      <alignment/>
    </xf>
    <xf numFmtId="193" fontId="17" fillId="0" borderId="0" xfId="0" applyNumberFormat="1" applyFont="1" applyAlignment="1">
      <alignment horizontal="right"/>
    </xf>
    <xf numFmtId="193" fontId="17" fillId="0" borderId="0" xfId="0" applyNumberFormat="1" applyFont="1" applyAlignment="1">
      <alignment horizontal="left" vertical="top"/>
    </xf>
    <xf numFmtId="193" fontId="17" fillId="0" borderId="0" xfId="0" applyNumberFormat="1" applyFont="1" applyAlignment="1">
      <alignment horizontal="left"/>
    </xf>
    <xf numFmtId="9" fontId="17" fillId="6" borderId="0" xfId="21" applyNumberFormat="1" applyFont="1" applyFill="1" applyAlignment="1">
      <alignment horizontal="left"/>
    </xf>
    <xf numFmtId="1" fontId="17" fillId="0" borderId="0" xfId="21" applyNumberFormat="1" applyFont="1" applyAlignment="1">
      <alignment horizontal="left" vertical="center"/>
    </xf>
    <xf numFmtId="0" fontId="17" fillId="0" borderId="0" xfId="0" applyFont="1" applyAlignment="1">
      <alignment/>
    </xf>
    <xf numFmtId="0" fontId="0" fillId="0" borderId="0" xfId="0" applyAlignment="1">
      <alignment horizontal="left"/>
    </xf>
    <xf numFmtId="165" fontId="17" fillId="0" borderId="0" xfId="15" applyNumberFormat="1" applyFont="1" applyAlignment="1">
      <alignment/>
    </xf>
    <xf numFmtId="10" fontId="17" fillId="0" borderId="0" xfId="0" applyNumberFormat="1" applyFont="1" applyAlignment="1">
      <alignment/>
    </xf>
    <xf numFmtId="0" fontId="0" fillId="4" borderId="0" xfId="0" applyFill="1" applyAlignment="1">
      <alignment/>
    </xf>
    <xf numFmtId="0" fontId="0" fillId="4" borderId="7" xfId="0" applyFill="1" applyBorder="1" applyAlignment="1">
      <alignment horizontal="center"/>
    </xf>
    <xf numFmtId="0" fontId="0" fillId="0" borderId="12" xfId="0" applyBorder="1" applyAlignment="1">
      <alignment wrapText="1"/>
    </xf>
    <xf numFmtId="0" fontId="0" fillId="0" borderId="7" xfId="0" applyBorder="1" applyAlignment="1">
      <alignment wrapText="1"/>
    </xf>
    <xf numFmtId="49" fontId="0" fillId="0" borderId="7" xfId="0" applyNumberFormat="1" applyFill="1" applyBorder="1" applyAlignment="1">
      <alignment horizontal="center"/>
    </xf>
    <xf numFmtId="0" fontId="0" fillId="4" borderId="0" xfId="0" applyFill="1" applyBorder="1" applyAlignment="1">
      <alignment/>
    </xf>
    <xf numFmtId="165" fontId="0" fillId="4" borderId="0" xfId="15" applyNumberFormat="1" applyFill="1" applyBorder="1" applyAlignment="1">
      <alignment/>
    </xf>
    <xf numFmtId="3" fontId="0" fillId="0" borderId="10" xfId="15" applyNumberFormat="1" applyBorder="1" applyAlignment="1">
      <alignment/>
    </xf>
    <xf numFmtId="165" fontId="0" fillId="0" borderId="0" xfId="15" applyNumberFormat="1" applyBorder="1" applyAlignment="1">
      <alignment/>
    </xf>
    <xf numFmtId="3" fontId="0" fillId="0" borderId="12" xfId="0" applyNumberFormat="1" applyBorder="1" applyAlignment="1">
      <alignment/>
    </xf>
    <xf numFmtId="3" fontId="0" fillId="0" borderId="13" xfId="15" applyNumberFormat="1" applyBorder="1" applyAlignment="1">
      <alignment/>
    </xf>
    <xf numFmtId="0" fontId="0" fillId="0" borderId="7" xfId="0" applyBorder="1" applyAlignment="1">
      <alignment horizontal="center"/>
    </xf>
    <xf numFmtId="3" fontId="0" fillId="0" borderId="7" xfId="0" applyNumberFormat="1" applyBorder="1" applyAlignment="1">
      <alignment/>
    </xf>
    <xf numFmtId="3" fontId="0" fillId="0" borderId="8" xfId="15" applyNumberFormat="1" applyBorder="1" applyAlignment="1">
      <alignment/>
    </xf>
    <xf numFmtId="0" fontId="16" fillId="0" borderId="11" xfId="0" applyFont="1" applyBorder="1" applyAlignment="1">
      <alignment/>
    </xf>
    <xf numFmtId="165" fontId="0" fillId="0" borderId="12" xfId="15" applyNumberFormat="1" applyBorder="1" applyAlignment="1">
      <alignment/>
    </xf>
    <xf numFmtId="165" fontId="0" fillId="0" borderId="7" xfId="15" applyNumberFormat="1" applyFont="1" applyBorder="1" applyAlignment="1">
      <alignment horizontal="center"/>
    </xf>
    <xf numFmtId="0" fontId="0" fillId="0" borderId="7" xfId="0" applyFill="1" applyBorder="1" applyAlignment="1">
      <alignment horizontal="center"/>
    </xf>
    <xf numFmtId="3" fontId="0" fillId="0" borderId="7" xfId="0" applyNumberFormat="1" applyBorder="1" applyAlignment="1">
      <alignment horizontal="center"/>
    </xf>
    <xf numFmtId="0" fontId="16" fillId="0" borderId="9" xfId="0" applyFont="1" applyBorder="1" applyAlignment="1">
      <alignment/>
    </xf>
    <xf numFmtId="4" fontId="0" fillId="4" borderId="0" xfId="15" applyNumberFormat="1" applyFill="1" applyBorder="1" applyAlignment="1">
      <alignment/>
    </xf>
    <xf numFmtId="4" fontId="0" fillId="0" borderId="0" xfId="15" applyNumberFormat="1" applyBorder="1" applyAlignment="1">
      <alignment/>
    </xf>
    <xf numFmtId="4" fontId="0" fillId="0" borderId="12" xfId="15" applyNumberFormat="1" applyBorder="1" applyAlignment="1">
      <alignment/>
    </xf>
    <xf numFmtId="0" fontId="0" fillId="4" borderId="7" xfId="0" applyFill="1" applyBorder="1" applyAlignment="1">
      <alignment/>
    </xf>
    <xf numFmtId="165" fontId="0" fillId="4" borderId="7" xfId="0" applyNumberFormat="1" applyFill="1" applyBorder="1" applyAlignment="1">
      <alignment/>
    </xf>
    <xf numFmtId="181" fontId="0" fillId="4" borderId="0" xfId="0" applyNumberFormat="1" applyFill="1" applyBorder="1" applyAlignment="1">
      <alignment/>
    </xf>
    <xf numFmtId="49" fontId="0" fillId="0" borderId="9" xfId="0" applyNumberFormat="1" applyBorder="1" applyAlignment="1">
      <alignment/>
    </xf>
    <xf numFmtId="181" fontId="0" fillId="0" borderId="0" xfId="0" applyNumberFormat="1" applyBorder="1" applyAlignment="1">
      <alignment/>
    </xf>
    <xf numFmtId="4" fontId="0" fillId="4" borderId="0" xfId="0" applyNumberFormat="1" applyFill="1" applyBorder="1" applyAlignment="1">
      <alignment/>
    </xf>
    <xf numFmtId="49" fontId="0" fillId="0" borderId="11" xfId="0" applyNumberFormat="1" applyBorder="1" applyAlignment="1">
      <alignment/>
    </xf>
    <xf numFmtId="181" fontId="0" fillId="0" borderId="12" xfId="0" applyNumberFormat="1" applyBorder="1" applyAlignment="1">
      <alignment/>
    </xf>
    <xf numFmtId="166" fontId="0" fillId="0" borderId="6" xfId="0" applyNumberFormat="1" applyBorder="1" applyAlignment="1">
      <alignment/>
    </xf>
    <xf numFmtId="3" fontId="0" fillId="0" borderId="7" xfId="0" applyNumberFormat="1" applyBorder="1" applyAlignment="1">
      <alignment/>
    </xf>
    <xf numFmtId="0" fontId="0" fillId="0" borderId="9" xfId="0" applyNumberFormat="1" applyBorder="1" applyAlignment="1">
      <alignment/>
    </xf>
    <xf numFmtId="165" fontId="0" fillId="4" borderId="0" xfId="15" applyNumberFormat="1" applyFill="1" applyAlignment="1">
      <alignment/>
    </xf>
    <xf numFmtId="164" fontId="0" fillId="4" borderId="0" xfId="15" applyNumberFormat="1" applyFill="1" applyBorder="1" applyAlignment="1">
      <alignment horizontal="right"/>
    </xf>
    <xf numFmtId="181" fontId="0" fillId="0" borderId="0" xfId="15" applyNumberFormat="1" applyBorder="1" applyAlignment="1">
      <alignment horizontal="right"/>
    </xf>
    <xf numFmtId="3" fontId="0" fillId="0" borderId="10" xfId="15" applyNumberFormat="1" applyFill="1" applyBorder="1" applyAlignment="1">
      <alignment/>
    </xf>
    <xf numFmtId="181" fontId="0" fillId="4" borderId="0" xfId="15" applyNumberFormat="1" applyFill="1" applyBorder="1" applyAlignment="1">
      <alignment horizontal="right"/>
    </xf>
    <xf numFmtId="165" fontId="0" fillId="4" borderId="0" xfId="15" applyNumberFormat="1" applyFill="1" applyBorder="1" applyAlignment="1">
      <alignment horizontal="right"/>
    </xf>
    <xf numFmtId="165" fontId="0" fillId="0" borderId="0" xfId="15" applyNumberFormat="1" applyFill="1" applyBorder="1" applyAlignment="1">
      <alignment horizontal="right"/>
    </xf>
    <xf numFmtId="165" fontId="0" fillId="0" borderId="0" xfId="15" applyNumberFormat="1" applyBorder="1" applyAlignment="1">
      <alignment horizontal="right"/>
    </xf>
    <xf numFmtId="181" fontId="0" fillId="0" borderId="0" xfId="0" applyNumberFormat="1" applyBorder="1" applyAlignment="1">
      <alignment horizontal="right"/>
    </xf>
    <xf numFmtId="0" fontId="0" fillId="0" borderId="9" xfId="0" applyNumberFormat="1" applyBorder="1" applyAlignment="1" quotePrefix="1">
      <alignment/>
    </xf>
    <xf numFmtId="9" fontId="0" fillId="4" borderId="0" xfId="21" applyFill="1" applyBorder="1" applyAlignment="1">
      <alignment horizontal="right"/>
    </xf>
    <xf numFmtId="9" fontId="0" fillId="0" borderId="0" xfId="21" applyBorder="1" applyAlignment="1">
      <alignment horizontal="right"/>
    </xf>
    <xf numFmtId="4" fontId="0" fillId="4" borderId="0" xfId="0" applyNumberFormat="1" applyFill="1" applyBorder="1" applyAlignment="1">
      <alignment horizontal="right"/>
    </xf>
    <xf numFmtId="181" fontId="0" fillId="4" borderId="0" xfId="0" applyNumberFormat="1" applyFill="1" applyBorder="1" applyAlignment="1">
      <alignment horizontal="right"/>
    </xf>
    <xf numFmtId="181" fontId="0" fillId="0" borderId="0" xfId="0" applyNumberFormat="1" applyFill="1" applyBorder="1" applyAlignment="1">
      <alignment horizontal="right"/>
    </xf>
    <xf numFmtId="183" fontId="0" fillId="4" borderId="0" xfId="0" applyNumberFormat="1" applyFill="1" applyBorder="1" applyAlignment="1">
      <alignment horizontal="right"/>
    </xf>
    <xf numFmtId="183" fontId="0" fillId="4" borderId="0" xfId="15" applyNumberFormat="1" applyFill="1" applyBorder="1" applyAlignment="1">
      <alignment horizontal="right"/>
    </xf>
    <xf numFmtId="182" fontId="0" fillId="4" borderId="0" xfId="15" applyNumberFormat="1" applyFill="1" applyBorder="1" applyAlignment="1">
      <alignment horizontal="right"/>
    </xf>
    <xf numFmtId="3" fontId="0" fillId="0" borderId="0" xfId="0" applyNumberFormat="1" applyBorder="1" applyAlignment="1">
      <alignment horizontal="right"/>
    </xf>
    <xf numFmtId="183" fontId="0" fillId="0" borderId="0" xfId="0" applyNumberFormat="1" applyBorder="1" applyAlignment="1">
      <alignment horizontal="right"/>
    </xf>
    <xf numFmtId="181" fontId="0" fillId="0" borderId="12" xfId="0" applyNumberFormat="1" applyBorder="1" applyAlignment="1">
      <alignment horizontal="right"/>
    </xf>
    <xf numFmtId="181" fontId="0" fillId="0" borderId="12" xfId="15" applyNumberFormat="1" applyBorder="1" applyAlignment="1">
      <alignment horizontal="right"/>
    </xf>
    <xf numFmtId="3" fontId="0" fillId="0" borderId="0" xfId="0" applyNumberFormat="1" applyAlignment="1">
      <alignment/>
    </xf>
    <xf numFmtId="182" fontId="0" fillId="4" borderId="0" xfId="0" applyNumberFormat="1" applyFill="1" applyBorder="1" applyAlignment="1">
      <alignment horizontal="right"/>
    </xf>
    <xf numFmtId="183" fontId="0" fillId="4" borderId="0" xfId="15" applyNumberFormat="1" applyFont="1" applyFill="1" applyBorder="1" applyAlignment="1">
      <alignment horizontal="right"/>
    </xf>
    <xf numFmtId="3" fontId="0" fillId="0" borderId="7" xfId="0" applyNumberFormat="1" applyBorder="1" applyAlignment="1">
      <alignment horizontal="left"/>
    </xf>
    <xf numFmtId="181" fontId="0" fillId="0" borderId="9" xfId="0" applyNumberFormat="1" applyBorder="1" applyAlignment="1">
      <alignment/>
    </xf>
    <xf numFmtId="181" fontId="0" fillId="0" borderId="0" xfId="0" applyNumberFormat="1" applyBorder="1" applyAlignment="1">
      <alignment/>
    </xf>
    <xf numFmtId="181" fontId="0" fillId="0" borderId="0" xfId="0" applyNumberFormat="1" applyFill="1" applyBorder="1" applyAlignment="1">
      <alignment/>
    </xf>
    <xf numFmtId="181" fontId="0" fillId="0" borderId="0" xfId="0" applyNumberFormat="1" applyFill="1" applyBorder="1" applyAlignment="1">
      <alignment/>
    </xf>
    <xf numFmtId="182" fontId="0" fillId="4" borderId="0" xfId="0" applyNumberFormat="1" applyFill="1" applyBorder="1" applyAlignment="1">
      <alignment/>
    </xf>
    <xf numFmtId="181" fontId="0" fillId="0" borderId="11" xfId="0" applyNumberFormat="1" applyBorder="1" applyAlignment="1">
      <alignment/>
    </xf>
    <xf numFmtId="181" fontId="0" fillId="0" borderId="12" xfId="0" applyNumberFormat="1" applyBorder="1" applyAlignment="1">
      <alignment/>
    </xf>
    <xf numFmtId="181" fontId="0" fillId="0" borderId="9" xfId="0" applyNumberFormat="1" applyFill="1" applyBorder="1" applyAlignment="1">
      <alignment/>
    </xf>
    <xf numFmtId="3" fontId="0" fillId="0" borderId="0" xfId="15" applyNumberFormat="1" applyAlignment="1">
      <alignment/>
    </xf>
    <xf numFmtId="0" fontId="0" fillId="0" borderId="6" xfId="0" applyNumberFormat="1" applyFill="1" applyBorder="1" applyAlignment="1">
      <alignment/>
    </xf>
    <xf numFmtId="3" fontId="0" fillId="0" borderId="8" xfId="0" applyNumberFormat="1" applyBorder="1" applyAlignment="1">
      <alignment/>
    </xf>
    <xf numFmtId="0" fontId="0" fillId="0" borderId="9" xfId="0" applyNumberFormat="1" applyFill="1" applyBorder="1" applyAlignment="1">
      <alignment/>
    </xf>
    <xf numFmtId="181" fontId="0" fillId="0" borderId="10" xfId="0" applyNumberFormat="1" applyBorder="1" applyAlignment="1">
      <alignment horizontal="right"/>
    </xf>
    <xf numFmtId="0" fontId="0" fillId="0" borderId="11" xfId="0" applyNumberFormat="1" applyFill="1" applyBorder="1" applyAlignment="1">
      <alignment/>
    </xf>
    <xf numFmtId="181" fontId="0" fillId="0" borderId="13" xfId="0" applyNumberFormat="1" applyBorder="1" applyAlignment="1">
      <alignment horizontal="right"/>
    </xf>
    <xf numFmtId="0" fontId="0" fillId="0" borderId="6" xfId="0" applyNumberFormat="1" applyBorder="1" applyAlignment="1">
      <alignment/>
    </xf>
    <xf numFmtId="181" fontId="0" fillId="0" borderId="0" xfId="15" applyNumberFormat="1" applyBorder="1" applyAlignment="1">
      <alignment/>
    </xf>
    <xf numFmtId="181" fontId="0" fillId="0" borderId="0" xfId="0" applyNumberFormat="1" applyBorder="1" applyAlignment="1">
      <alignment horizontal="left"/>
    </xf>
    <xf numFmtId="181" fontId="0" fillId="0" borderId="10" xfId="0" applyNumberFormat="1" applyBorder="1" applyAlignment="1">
      <alignment/>
    </xf>
    <xf numFmtId="181" fontId="0" fillId="4" borderId="0" xfId="15" applyNumberFormat="1" applyFill="1" applyBorder="1" applyAlignment="1">
      <alignment/>
    </xf>
    <xf numFmtId="181" fontId="0" fillId="0" borderId="12" xfId="0" applyNumberFormat="1" applyBorder="1" applyAlignment="1">
      <alignment horizontal="left"/>
    </xf>
    <xf numFmtId="181" fontId="0" fillId="0" borderId="13" xfId="0" applyNumberFormat="1" applyBorder="1" applyAlignment="1">
      <alignment/>
    </xf>
    <xf numFmtId="165" fontId="0" fillId="0" borderId="0" xfId="15" applyNumberFormat="1" applyAlignment="1">
      <alignment/>
    </xf>
    <xf numFmtId="165" fontId="5" fillId="4" borderId="27" xfId="15" applyNumberFormat="1" applyFont="1" applyFill="1" applyBorder="1" applyAlignment="1">
      <alignment horizontal="center"/>
    </xf>
    <xf numFmtId="165" fontId="5" fillId="4" borderId="12" xfId="15" applyNumberFormat="1" applyFont="1" applyFill="1" applyBorder="1" applyAlignment="1">
      <alignment horizontal="center"/>
    </xf>
    <xf numFmtId="165" fontId="5" fillId="0" borderId="14" xfId="15" applyNumberFormat="1" applyFont="1" applyBorder="1" applyAlignment="1">
      <alignment horizontal="center"/>
    </xf>
    <xf numFmtId="165" fontId="5" fillId="0" borderId="13" xfId="15" applyNumberFormat="1" applyFont="1" applyBorder="1" applyAlignment="1">
      <alignment horizontal="center"/>
    </xf>
    <xf numFmtId="165" fontId="5" fillId="0" borderId="12" xfId="15" applyNumberFormat="1" applyFont="1" applyBorder="1" applyAlignment="1">
      <alignment horizontal="center"/>
    </xf>
    <xf numFmtId="165" fontId="0" fillId="0" borderId="13" xfId="15" applyNumberFormat="1" applyBorder="1" applyAlignment="1">
      <alignment horizontal="center"/>
    </xf>
    <xf numFmtId="165" fontId="5" fillId="0" borderId="18" xfId="15" applyNumberFormat="1" applyFont="1" applyFill="1" applyBorder="1" applyAlignment="1">
      <alignment horizontal="center"/>
    </xf>
    <xf numFmtId="165" fontId="5" fillId="0" borderId="27" xfId="15" applyNumberFormat="1" applyFont="1" applyFill="1" applyBorder="1" applyAlignment="1">
      <alignment horizontal="center"/>
    </xf>
    <xf numFmtId="165" fontId="5" fillId="0" borderId="10" xfId="15" applyNumberFormat="1" applyFont="1" applyBorder="1" applyAlignment="1">
      <alignment horizontal="center"/>
    </xf>
    <xf numFmtId="165" fontId="5" fillId="0" borderId="28" xfId="15" applyNumberFormat="1" applyFont="1" applyBorder="1" applyAlignment="1">
      <alignment horizontal="center"/>
    </xf>
    <xf numFmtId="165" fontId="5" fillId="0" borderId="8" xfId="15" applyNumberFormat="1" applyFont="1" applyBorder="1" applyAlignment="1">
      <alignment horizontal="center"/>
    </xf>
    <xf numFmtId="165" fontId="5" fillId="4" borderId="18" xfId="15" applyNumberFormat="1" applyFont="1" applyFill="1" applyBorder="1" applyAlignment="1">
      <alignment horizontal="center"/>
    </xf>
    <xf numFmtId="0" fontId="7" fillId="0" borderId="0" xfId="0" applyFont="1" applyAlignment="1">
      <alignment horizontal="center"/>
    </xf>
    <xf numFmtId="0" fontId="0" fillId="0" borderId="0" xfId="0" applyAlignment="1">
      <alignment horizontal="center"/>
    </xf>
    <xf numFmtId="165" fontId="0" fillId="0" borderId="18" xfId="15" applyNumberFormat="1" applyBorder="1" applyAlignment="1">
      <alignment horizontal="center"/>
    </xf>
    <xf numFmtId="165" fontId="0" fillId="0" borderId="14" xfId="15" applyNumberFormat="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43" fontId="5" fillId="4" borderId="18" xfId="15" applyFont="1" applyFill="1" applyBorder="1" applyAlignment="1">
      <alignment horizontal="center"/>
    </xf>
    <xf numFmtId="43" fontId="5" fillId="4" borderId="14" xfId="15" applyFont="1" applyFill="1" applyBorder="1" applyAlignment="1">
      <alignment horizontal="center"/>
    </xf>
    <xf numFmtId="43" fontId="5" fillId="0" borderId="18" xfId="15" applyFont="1" applyFill="1" applyBorder="1" applyAlignment="1">
      <alignment horizontal="center"/>
    </xf>
    <xf numFmtId="43" fontId="5" fillId="0" borderId="14" xfId="15" applyFont="1" applyFill="1" applyBorder="1" applyAlignment="1">
      <alignment horizontal="center"/>
    </xf>
    <xf numFmtId="43" fontId="5" fillId="4" borderId="27" xfId="15" applyFont="1" applyFill="1" applyBorder="1" applyAlignment="1">
      <alignment horizontal="center"/>
    </xf>
    <xf numFmtId="165" fontId="5" fillId="4" borderId="0" xfId="15" applyNumberFormat="1" applyFont="1" applyFill="1" applyBorder="1" applyAlignment="1">
      <alignment horizontal="center"/>
    </xf>
    <xf numFmtId="165" fontId="5" fillId="4" borderId="29" xfId="15" applyNumberFormat="1" applyFont="1" applyFill="1" applyBorder="1" applyAlignment="1">
      <alignment horizontal="center"/>
    </xf>
    <xf numFmtId="165" fontId="5" fillId="4" borderId="7" xfId="15" applyNumberFormat="1" applyFont="1" applyFill="1" applyBorder="1" applyAlignment="1">
      <alignment horizontal="center"/>
    </xf>
    <xf numFmtId="43" fontId="5" fillId="4" borderId="17" xfId="15" applyFont="1" applyFill="1" applyBorder="1" applyAlignment="1">
      <alignment horizontal="center"/>
    </xf>
    <xf numFmtId="165" fontId="5" fillId="0" borderId="18" xfId="15" applyNumberFormat="1" applyFont="1" applyBorder="1" applyAlignment="1">
      <alignment horizontal="center"/>
    </xf>
    <xf numFmtId="165" fontId="5" fillId="0" borderId="27" xfId="15" applyNumberFormat="1" applyFont="1" applyBorder="1" applyAlignment="1">
      <alignment horizontal="center"/>
    </xf>
    <xf numFmtId="43" fontId="5" fillId="0" borderId="27" xfId="15" applyFont="1" applyFill="1" applyBorder="1" applyAlignment="1">
      <alignment horizontal="center"/>
    </xf>
    <xf numFmtId="165" fontId="5" fillId="0" borderId="17" xfId="15" applyNumberFormat="1" applyFont="1" applyBorder="1" applyAlignment="1">
      <alignment horizontal="center"/>
    </xf>
    <xf numFmtId="165" fontId="5" fillId="0" borderId="0" xfId="15" applyNumberFormat="1" applyFont="1" applyBorder="1" applyAlignment="1">
      <alignment horizontal="center"/>
    </xf>
    <xf numFmtId="165" fontId="5" fillId="0" borderId="29" xfId="15" applyNumberFormat="1" applyFont="1" applyBorder="1" applyAlignment="1">
      <alignment horizontal="center"/>
    </xf>
    <xf numFmtId="165" fontId="5" fillId="0" borderId="7" xfId="15" applyNumberFormat="1" applyFont="1" applyBorder="1" applyAlignment="1">
      <alignment horizontal="center"/>
    </xf>
    <xf numFmtId="165" fontId="0" fillId="0" borderId="18" xfId="0" applyNumberFormat="1" applyBorder="1" applyAlignment="1">
      <alignment horizontal="center"/>
    </xf>
    <xf numFmtId="165" fontId="0" fillId="0" borderId="14" xfId="0" applyNumberFormat="1" applyBorder="1" applyAlignment="1">
      <alignment horizontal="center"/>
    </xf>
    <xf numFmtId="43" fontId="0" fillId="0" borderId="17" xfId="0" applyNumberFormat="1" applyBorder="1" applyAlignment="1">
      <alignment horizontal="center"/>
    </xf>
    <xf numFmtId="165" fontId="0" fillId="0" borderId="17" xfId="0" applyNumberFormat="1" applyBorder="1" applyAlignment="1">
      <alignment horizontal="center"/>
    </xf>
    <xf numFmtId="43" fontId="5" fillId="0" borderId="0" xfId="15" applyFont="1" applyFill="1" applyBorder="1" applyAlignment="1">
      <alignment horizontal="center"/>
    </xf>
    <xf numFmtId="165" fontId="5" fillId="0" borderId="0" xfId="15" applyNumberFormat="1" applyFont="1" applyFill="1" applyBorder="1" applyAlignment="1">
      <alignment horizontal="center"/>
    </xf>
    <xf numFmtId="43" fontId="0" fillId="0" borderId="0" xfId="0" applyNumberFormat="1" applyFill="1" applyBorder="1" applyAlignment="1">
      <alignment horizontal="center"/>
    </xf>
    <xf numFmtId="0" fontId="0" fillId="0" borderId="0" xfId="0" applyFill="1" applyBorder="1" applyAlignment="1">
      <alignment horizontal="center"/>
    </xf>
    <xf numFmtId="43" fontId="0" fillId="0" borderId="18" xfId="0" applyNumberFormat="1" applyBorder="1" applyAlignment="1">
      <alignment horizontal="center"/>
    </xf>
    <xf numFmtId="165" fontId="5" fillId="0" borderId="14" xfId="15" applyNumberFormat="1" applyFont="1" applyFill="1" applyBorder="1" applyAlignment="1">
      <alignment horizontal="center"/>
    </xf>
    <xf numFmtId="165" fontId="0" fillId="0" borderId="0" xfId="0" applyNumberFormat="1" applyFill="1" applyBorder="1" applyAlignment="1">
      <alignment horizontal="center"/>
    </xf>
    <xf numFmtId="43" fontId="5" fillId="2" borderId="17" xfId="15" applyFont="1" applyFill="1" applyBorder="1" applyAlignment="1">
      <alignment horizontal="center"/>
    </xf>
    <xf numFmtId="43" fontId="5" fillId="2" borderId="27" xfId="15" applyFont="1" applyFill="1" applyBorder="1" applyAlignment="1">
      <alignment horizontal="center"/>
    </xf>
    <xf numFmtId="165" fontId="5" fillId="2" borderId="0" xfId="15" applyNumberFormat="1" applyFont="1" applyFill="1" applyBorder="1" applyAlignment="1">
      <alignment horizontal="center"/>
    </xf>
    <xf numFmtId="165" fontId="5" fillId="2" borderId="29" xfId="15" applyNumberFormat="1" applyFont="1" applyFill="1" applyBorder="1" applyAlignment="1">
      <alignment horizontal="center"/>
    </xf>
    <xf numFmtId="43" fontId="5" fillId="2" borderId="18" xfId="15" applyFont="1" applyFill="1" applyBorder="1" applyAlignment="1">
      <alignment horizontal="center"/>
    </xf>
    <xf numFmtId="165" fontId="5" fillId="2" borderId="18" xfId="15" applyNumberFormat="1" applyFont="1" applyFill="1" applyBorder="1" applyAlignment="1">
      <alignment horizontal="center"/>
    </xf>
    <xf numFmtId="165" fontId="5" fillId="2" borderId="27" xfId="15" applyNumberFormat="1" applyFont="1" applyFill="1" applyBorder="1" applyAlignment="1">
      <alignment horizontal="center"/>
    </xf>
    <xf numFmtId="165" fontId="5" fillId="2" borderId="7" xfId="15" applyNumberFormat="1" applyFont="1" applyFill="1" applyBorder="1" applyAlignment="1">
      <alignment horizontal="center"/>
    </xf>
    <xf numFmtId="43" fontId="5" fillId="2" borderId="14" xfId="15" applyFont="1" applyFill="1" applyBorder="1" applyAlignment="1">
      <alignment horizontal="center"/>
    </xf>
    <xf numFmtId="165" fontId="5" fillId="2" borderId="12" xfId="15" applyNumberFormat="1" applyFont="1" applyFill="1" applyBorder="1" applyAlignment="1">
      <alignment horizontal="center"/>
    </xf>
    <xf numFmtId="43" fontId="5" fillId="3" borderId="17" xfId="15" applyFont="1" applyFill="1" applyBorder="1" applyAlignment="1">
      <alignment horizontal="center"/>
    </xf>
    <xf numFmtId="43" fontId="5" fillId="3" borderId="27" xfId="15" applyFont="1" applyFill="1" applyBorder="1" applyAlignment="1">
      <alignment horizontal="center"/>
    </xf>
    <xf numFmtId="165" fontId="5" fillId="3" borderId="0" xfId="15" applyNumberFormat="1" applyFont="1" applyFill="1" applyBorder="1" applyAlignment="1">
      <alignment horizontal="center"/>
    </xf>
    <xf numFmtId="165" fontId="5" fillId="3" borderId="29" xfId="15" applyNumberFormat="1" applyFont="1" applyFill="1" applyBorder="1" applyAlignment="1">
      <alignment horizontal="center"/>
    </xf>
    <xf numFmtId="43" fontId="5" fillId="3" borderId="18" xfId="15" applyFont="1" applyFill="1" applyBorder="1" applyAlignment="1">
      <alignment horizontal="center"/>
    </xf>
    <xf numFmtId="165" fontId="5" fillId="3" borderId="17" xfId="15" applyNumberFormat="1" applyFont="1" applyFill="1" applyBorder="1" applyAlignment="1">
      <alignment horizontal="center"/>
    </xf>
    <xf numFmtId="165" fontId="5" fillId="3" borderId="27" xfId="15" applyNumberFormat="1" applyFont="1" applyFill="1" applyBorder="1" applyAlignment="1">
      <alignment horizontal="center"/>
    </xf>
    <xf numFmtId="165" fontId="5" fillId="3" borderId="7" xfId="15" applyNumberFormat="1" applyFont="1" applyFill="1" applyBorder="1" applyAlignment="1">
      <alignment horizontal="center"/>
    </xf>
    <xf numFmtId="43" fontId="5" fillId="3" borderId="14" xfId="15" applyFont="1" applyFill="1" applyBorder="1" applyAlignment="1">
      <alignment horizontal="center"/>
    </xf>
    <xf numFmtId="165" fontId="5" fillId="3" borderId="12" xfId="15" applyNumberFormat="1" applyFont="1" applyFill="1" applyBorder="1" applyAlignment="1">
      <alignment horizontal="center"/>
    </xf>
    <xf numFmtId="2" fontId="0" fillId="0" borderId="0" xfId="0" applyNumberFormat="1" applyAlignment="1">
      <alignment horizontal="right"/>
    </xf>
    <xf numFmtId="165" fontId="0" fillId="0" borderId="18" xfId="15" applyNumberFormat="1" applyBorder="1" applyAlignment="1">
      <alignment horizontal="center"/>
    </xf>
    <xf numFmtId="165" fontId="0" fillId="0" borderId="14" xfId="15" applyNumberFormat="1" applyBorder="1" applyAlignment="1">
      <alignment horizontal="center"/>
    </xf>
    <xf numFmtId="165" fontId="0" fillId="0" borderId="13" xfId="15" applyNumberFormat="1" applyBorder="1" applyAlignment="1">
      <alignment horizontal="center"/>
    </xf>
    <xf numFmtId="165" fontId="0" fillId="0" borderId="0" xfId="0" applyNumberFormat="1" applyAlignment="1">
      <alignment horizontal="center"/>
    </xf>
    <xf numFmtId="0" fontId="3" fillId="0" borderId="0" xfId="0" applyFont="1" applyAlignment="1">
      <alignment/>
    </xf>
    <xf numFmtId="0" fontId="0" fillId="0" borderId="0" xfId="0" applyAlignment="1">
      <alignment/>
    </xf>
    <xf numFmtId="0" fontId="7" fillId="0" borderId="0" xfId="0" applyFont="1" applyBorder="1" applyAlignment="1">
      <alignment horizontal="left" vertical="top" wrapText="1"/>
    </xf>
    <xf numFmtId="0" fontId="15" fillId="0" borderId="6" xfId="0" applyFont="1" applyBorder="1" applyAlignment="1">
      <alignment horizontal="left"/>
    </xf>
    <xf numFmtId="0" fontId="15" fillId="0" borderId="7" xfId="0" applyFont="1" applyBorder="1" applyAlignment="1">
      <alignment horizontal="left"/>
    </xf>
    <xf numFmtId="0" fontId="15" fillId="0" borderId="8"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0" fillId="0" borderId="9" xfId="0" applyFill="1"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5" fillId="0" borderId="0" xfId="0" applyFont="1" applyAlignment="1">
      <alignment horizontal="left" vertical="top" wrapText="1"/>
    </xf>
    <xf numFmtId="0" fontId="18" fillId="0" borderId="0" xfId="0" applyFont="1" applyAlignment="1" applyProtection="1">
      <alignment horizontal="center" vertical="center"/>
      <protection locked="0"/>
    </xf>
    <xf numFmtId="0" fontId="20" fillId="0" borderId="7" xfId="0" applyFont="1" applyBorder="1" applyAlignment="1">
      <alignment horizontal="center"/>
    </xf>
    <xf numFmtId="0" fontId="17" fillId="0" borderId="0" xfId="0" applyFont="1" applyBorder="1" applyAlignment="1">
      <alignment horizontal="center" vertical="center"/>
    </xf>
    <xf numFmtId="0" fontId="6" fillId="0" borderId="0" xfId="0" applyFont="1" applyAlignment="1">
      <alignment horizontal="left"/>
    </xf>
    <xf numFmtId="0" fontId="20" fillId="0" borderId="0" xfId="0" applyFont="1" applyAlignment="1">
      <alignment horizontal="center"/>
    </xf>
    <xf numFmtId="0" fontId="17" fillId="0" borderId="0" xfId="0" applyFont="1" applyAlignment="1" applyProtection="1">
      <alignment vertical="center"/>
      <protection locked="0"/>
    </xf>
    <xf numFmtId="0" fontId="17" fillId="0" borderId="0" xfId="0" applyFont="1" applyAlignment="1">
      <alignment vertical="center"/>
    </xf>
    <xf numFmtId="0" fontId="20" fillId="0" borderId="0" xfId="0" applyFont="1" applyBorder="1" applyAlignment="1">
      <alignment horizontal="left" vertical="center"/>
    </xf>
    <xf numFmtId="192" fontId="17" fillId="0" borderId="0" xfId="0" applyNumberFormat="1" applyFont="1" applyAlignment="1">
      <alignment horizontal="center" vertical="center"/>
    </xf>
    <xf numFmtId="3" fontId="17" fillId="0" borderId="0" xfId="0" applyNumberFormat="1" applyFont="1" applyBorder="1" applyAlignment="1">
      <alignment horizontal="left" vertical="center"/>
    </xf>
    <xf numFmtId="0" fontId="18" fillId="0" borderId="0" xfId="0" applyFont="1" applyAlignment="1">
      <alignment horizontal="center" vertical="center"/>
    </xf>
    <xf numFmtId="165" fontId="17" fillId="0" borderId="0" xfId="15" applyNumberFormat="1" applyFont="1" applyAlignment="1">
      <alignment horizontal="right" vertical="center"/>
    </xf>
    <xf numFmtId="0" fontId="17" fillId="0" borderId="12" xfId="0" applyFont="1" applyBorder="1" applyAlignment="1">
      <alignment vertical="center"/>
    </xf>
    <xf numFmtId="0" fontId="0" fillId="0" borderId="0" xfId="0" applyAlignment="1">
      <alignment vertical="center"/>
    </xf>
    <xf numFmtId="10" fontId="3" fillId="0" borderId="0" xfId="21" applyNumberFormat="1" applyFont="1" applyBorder="1" applyAlignment="1">
      <alignment horizontal="center"/>
    </xf>
    <xf numFmtId="0" fontId="6" fillId="0" borderId="0" xfId="0" applyFont="1" applyBorder="1" applyAlignment="1">
      <alignment horizontal="left"/>
    </xf>
    <xf numFmtId="0" fontId="7" fillId="0" borderId="0" xfId="0" applyFont="1" applyAlignment="1">
      <alignment horizontal="left"/>
    </xf>
    <xf numFmtId="191" fontId="6" fillId="0" borderId="0" xfId="0" applyNumberFormat="1" applyFont="1" applyAlignment="1">
      <alignment horizontal="left"/>
    </xf>
    <xf numFmtId="175" fontId="7" fillId="0" borderId="0" xfId="0" applyNumberFormat="1" applyFont="1" applyAlignment="1">
      <alignment horizontal="right"/>
    </xf>
    <xf numFmtId="175" fontId="7" fillId="0" borderId="0" xfId="0" applyNumberFormat="1" applyFont="1" applyBorder="1" applyAlignment="1">
      <alignment horizontal="center" vertical="center"/>
    </xf>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pplyProtection="1">
      <alignment horizontal="left" vertical="center"/>
      <protection locked="0"/>
    </xf>
    <xf numFmtId="3" fontId="17" fillId="0" borderId="0" xfId="0" applyNumberFormat="1" applyFont="1" applyAlignment="1" applyProtection="1">
      <alignment vertical="center"/>
      <protection locked="0"/>
    </xf>
    <xf numFmtId="0" fontId="7" fillId="0" borderId="7" xfId="0" applyFont="1" applyBorder="1" applyAlignment="1">
      <alignment horizontal="center"/>
    </xf>
    <xf numFmtId="0" fontId="6" fillId="0" borderId="0" xfId="0" applyFont="1" applyAlignment="1">
      <alignment horizontal="left" vertical="center"/>
    </xf>
    <xf numFmtId="0" fontId="17" fillId="0" borderId="0" xfId="0" applyFont="1" applyAlignment="1" applyProtection="1">
      <alignment horizontal="right" vertical="center"/>
      <protection locked="0"/>
    </xf>
    <xf numFmtId="0" fontId="17" fillId="0" borderId="0" xfId="0" applyFont="1" applyAlignment="1">
      <alignment horizontal="right" vertical="center"/>
    </xf>
    <xf numFmtId="0" fontId="15" fillId="0" borderId="0" xfId="0" applyFont="1" applyAlignment="1">
      <alignment horizontal="left"/>
    </xf>
    <xf numFmtId="0" fontId="17" fillId="0" borderId="0" xfId="0" applyFont="1" applyAlignment="1">
      <alignment horizontal="left" vertical="center"/>
    </xf>
    <xf numFmtId="193" fontId="17" fillId="0" borderId="0" xfId="0" applyNumberFormat="1" applyFont="1" applyAlignment="1">
      <alignment horizontal="left"/>
    </xf>
    <xf numFmtId="0" fontId="17" fillId="0" borderId="0" xfId="0" applyFont="1" applyAlignment="1">
      <alignment horizontal="center" vertical="center"/>
    </xf>
    <xf numFmtId="193" fontId="17" fillId="0" borderId="0" xfId="0" applyNumberFormat="1" applyFont="1" applyAlignment="1">
      <alignment horizontal="right"/>
    </xf>
    <xf numFmtId="193" fontId="17" fillId="0" borderId="0" xfId="0" applyNumberFormat="1" applyFont="1" applyAlignment="1">
      <alignment horizontal="left" vertical="top"/>
    </xf>
    <xf numFmtId="179" fontId="17" fillId="0" borderId="0" xfId="21" applyNumberFormat="1" applyFont="1" applyAlignment="1">
      <alignment horizontal="center" vertical="center"/>
    </xf>
    <xf numFmtId="0" fontId="17" fillId="0" borderId="22" xfId="0" applyFont="1" applyBorder="1" applyAlignment="1">
      <alignment horizontal="center"/>
    </xf>
    <xf numFmtId="167" fontId="17" fillId="0" borderId="0" xfId="0" applyNumberFormat="1" applyFont="1" applyAlignment="1">
      <alignment horizontal="center"/>
    </xf>
    <xf numFmtId="6" fontId="17" fillId="0" borderId="0" xfId="0" applyNumberFormat="1" applyFont="1" applyAlignment="1">
      <alignment horizontal="center"/>
    </xf>
    <xf numFmtId="10" fontId="17" fillId="0" borderId="0" xfId="21" applyNumberFormat="1" applyFont="1" applyBorder="1" applyAlignment="1">
      <alignment horizontal="center" vertical="center"/>
    </xf>
    <xf numFmtId="10" fontId="17" fillId="0" borderId="22" xfId="21" applyNumberFormat="1" applyFont="1" applyBorder="1" applyAlignment="1">
      <alignment horizontal="center" vertical="center"/>
    </xf>
    <xf numFmtId="0" fontId="17" fillId="0" borderId="0" xfId="0" applyFont="1" applyBorder="1" applyAlignment="1">
      <alignment horizontal="left" vertical="center"/>
    </xf>
    <xf numFmtId="0" fontId="17" fillId="0" borderId="22" xfId="0" applyFont="1" applyBorder="1" applyAlignment="1">
      <alignment horizontal="left" vertical="center"/>
    </xf>
    <xf numFmtId="0" fontId="17" fillId="0" borderId="7" xfId="0" applyFont="1" applyBorder="1" applyAlignment="1">
      <alignment horizontal="center" vertical="center" wrapText="1"/>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49" fontId="0" fillId="4" borderId="12" xfId="0" applyNumberFormat="1" applyFill="1" applyBorder="1" applyAlignment="1">
      <alignment horizontal="center"/>
    </xf>
    <xf numFmtId="49" fontId="0" fillId="4" borderId="13" xfId="0" applyNumberFormat="1" applyFill="1" applyBorder="1" applyAlignment="1">
      <alignment horizontal="center"/>
    </xf>
    <xf numFmtId="3" fontId="0" fillId="0" borderId="6" xfId="0" applyNumberFormat="1" applyBorder="1" applyAlignment="1">
      <alignment horizontal="left"/>
    </xf>
    <xf numFmtId="3" fontId="0" fillId="0" borderId="7" xfId="0" applyNumberFormat="1" applyBorder="1" applyAlignment="1">
      <alignment horizontal="left"/>
    </xf>
    <xf numFmtId="0" fontId="0" fillId="0" borderId="7"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98"/>
  <sheetViews>
    <sheetView workbookViewId="0" topLeftCell="A1">
      <selection activeCell="A1" sqref="A1"/>
    </sheetView>
  </sheetViews>
  <sheetFormatPr defaultColWidth="9.140625" defaultRowHeight="12.75"/>
  <cols>
    <col min="2" max="2" width="3.28125" style="0" customWidth="1"/>
    <col min="3" max="3" width="17.7109375" style="0" customWidth="1"/>
    <col min="4" max="4" width="13.421875" style="0" customWidth="1"/>
    <col min="5" max="5" width="14.8515625" style="0" customWidth="1"/>
    <col min="6" max="6" width="15.57421875" style="0" customWidth="1"/>
    <col min="7" max="7" width="15.7109375" style="0" customWidth="1"/>
    <col min="8" max="8" width="16.28125" style="0" bestFit="1" customWidth="1"/>
    <col min="9" max="9" width="15.00390625" style="0" customWidth="1"/>
    <col min="10" max="10" width="16.28125" style="0" bestFit="1" customWidth="1"/>
    <col min="11" max="11" width="14.140625" style="0" customWidth="1"/>
    <col min="12" max="12" width="19.57421875" style="0" bestFit="1" customWidth="1"/>
    <col min="13" max="13" width="13.57421875" style="0" customWidth="1"/>
    <col min="14" max="14" width="18.00390625" style="0" customWidth="1"/>
    <col min="15" max="15" width="11.00390625" style="0" customWidth="1"/>
  </cols>
  <sheetData>
    <row r="1" ht="18">
      <c r="C1" s="2" t="s">
        <v>16</v>
      </c>
    </row>
    <row r="2" spans="3:4" ht="15.75">
      <c r="C2" s="9" t="s">
        <v>12</v>
      </c>
      <c r="D2" s="17" t="s">
        <v>47</v>
      </c>
    </row>
    <row r="3" spans="3:5" ht="16.5" thickBot="1">
      <c r="C3" s="9" t="s">
        <v>13</v>
      </c>
      <c r="D3" s="17">
        <v>4</v>
      </c>
      <c r="E3" t="s">
        <v>48</v>
      </c>
    </row>
    <row r="4" spans="1:15" ht="30.75" thickBot="1">
      <c r="A4" s="49" t="s">
        <v>41</v>
      </c>
      <c r="B4" s="49" t="s">
        <v>39</v>
      </c>
      <c r="C4" s="3" t="s">
        <v>0</v>
      </c>
      <c r="D4" s="4" t="s">
        <v>1</v>
      </c>
      <c r="E4" s="4" t="s">
        <v>2</v>
      </c>
      <c r="F4" s="4" t="s">
        <v>7</v>
      </c>
      <c r="G4" s="4" t="s">
        <v>3</v>
      </c>
      <c r="H4" s="4" t="s">
        <v>4</v>
      </c>
      <c r="I4" s="4" t="s">
        <v>5</v>
      </c>
      <c r="J4" s="5" t="s">
        <v>6</v>
      </c>
      <c r="K4" s="6" t="s">
        <v>10</v>
      </c>
      <c r="L4" s="7" t="s">
        <v>52</v>
      </c>
      <c r="M4" s="10" t="s">
        <v>50</v>
      </c>
      <c r="N4" s="8" t="s">
        <v>51</v>
      </c>
      <c r="O4" s="21" t="s">
        <v>49</v>
      </c>
    </row>
    <row r="5" spans="1:15" ht="15" customHeight="1" thickBot="1">
      <c r="A5" s="349" t="str">
        <f>IF(C5=0,0,CONCATENATE(B5," ",$D$2))</f>
        <v>1 Top</v>
      </c>
      <c r="B5" s="351">
        <v>1</v>
      </c>
      <c r="C5" s="361">
        <v>6.5</v>
      </c>
      <c r="D5" s="358">
        <v>3000000</v>
      </c>
      <c r="E5" s="365">
        <f>D5*C5</f>
        <v>19500000</v>
      </c>
      <c r="F5" s="353">
        <v>2</v>
      </c>
      <c r="G5" s="365">
        <f>F5*D5</f>
        <v>6000000</v>
      </c>
      <c r="H5" s="366">
        <f>E5-G5</f>
        <v>13500000</v>
      </c>
      <c r="I5" s="346">
        <v>0</v>
      </c>
      <c r="J5" s="343">
        <f>H5-I5</f>
        <v>13500000</v>
      </c>
      <c r="K5" s="371">
        <f>C5-F5</f>
        <v>4.5</v>
      </c>
      <c r="L5" s="372">
        <f>D5/$D$3</f>
        <v>750000</v>
      </c>
      <c r="M5" s="369">
        <f>IF(L5=0,0,H5/L5)</f>
        <v>18</v>
      </c>
      <c r="N5" s="45">
        <f>IF(L5=0,0,H5/L5)</f>
        <v>18</v>
      </c>
      <c r="O5" s="23">
        <f>IF(L5&lt;0,0,L5)</f>
        <v>750000</v>
      </c>
    </row>
    <row r="6" spans="1:15" ht="15.75" customHeight="1" thickBot="1">
      <c r="A6" s="350"/>
      <c r="B6" s="352"/>
      <c r="C6" s="357"/>
      <c r="D6" s="359"/>
      <c r="E6" s="363"/>
      <c r="F6" s="357"/>
      <c r="G6" s="363"/>
      <c r="H6" s="367"/>
      <c r="I6" s="335"/>
      <c r="J6" s="344"/>
      <c r="K6" s="352"/>
      <c r="L6" s="352"/>
      <c r="M6" s="370"/>
      <c r="N6" s="349">
        <f>IF(L7=0,0,(H7-H5)/(L7-L5))</f>
        <v>11</v>
      </c>
      <c r="O6" s="349">
        <f>IF(L7-L5&lt;0,0,L7-L5)</f>
        <v>125000</v>
      </c>
    </row>
    <row r="7" spans="1:15" ht="13.5" thickBot="1">
      <c r="A7" s="349" t="str">
        <f>IF(C7=0,0,CONCATENATE(B7," ",$D$2))</f>
        <v>2 Top</v>
      </c>
      <c r="B7" s="351">
        <v>2</v>
      </c>
      <c r="C7" s="353">
        <v>6.25</v>
      </c>
      <c r="D7" s="360">
        <v>3500000</v>
      </c>
      <c r="E7" s="362">
        <f>D7*C7</f>
        <v>21875000</v>
      </c>
      <c r="F7" s="355">
        <f>IF(C7=0,0,$F$5)</f>
        <v>2</v>
      </c>
      <c r="G7" s="362">
        <f>F7*D7</f>
        <v>7000000</v>
      </c>
      <c r="H7" s="368">
        <f>E7-G7</f>
        <v>14875000</v>
      </c>
      <c r="I7" s="341">
        <f>IF(C7=0,0,$I$5)</f>
        <v>0</v>
      </c>
      <c r="J7" s="345">
        <f>H7-I7</f>
        <v>14875000</v>
      </c>
      <c r="K7" s="371">
        <f>C7-F7</f>
        <v>4.25</v>
      </c>
      <c r="L7" s="369">
        <f>D7/$D$3</f>
        <v>875000</v>
      </c>
      <c r="M7" s="369">
        <f>IF(L7=0,0,H7/L7)</f>
        <v>17</v>
      </c>
      <c r="N7" s="340"/>
      <c r="O7" s="350"/>
    </row>
    <row r="8" spans="1:15" ht="13.5" thickBot="1">
      <c r="A8" s="350"/>
      <c r="B8" s="352"/>
      <c r="C8" s="357"/>
      <c r="D8" s="359"/>
      <c r="E8" s="363"/>
      <c r="F8" s="364"/>
      <c r="G8" s="363"/>
      <c r="H8" s="367"/>
      <c r="I8" s="342"/>
      <c r="J8" s="344"/>
      <c r="K8" s="352"/>
      <c r="L8" s="370"/>
      <c r="M8" s="370"/>
      <c r="N8" s="349">
        <f>IF(L9=0,0,(H9-H7)/(L9-L7))</f>
        <v>9</v>
      </c>
      <c r="O8" s="349">
        <f>IF(L9-L7&lt;0,0,L9-L7)</f>
        <v>125000</v>
      </c>
    </row>
    <row r="9" spans="1:15" ht="13.5" customHeight="1" thickBot="1">
      <c r="A9" s="349" t="str">
        <f>IF(C9=0,0,CONCATENATE(B9," ",$D$2))</f>
        <v>3 Top</v>
      </c>
      <c r="B9" s="351">
        <v>3</v>
      </c>
      <c r="C9" s="353">
        <v>6</v>
      </c>
      <c r="D9" s="360">
        <v>4000000</v>
      </c>
      <c r="E9" s="362">
        <f>D9*C9</f>
        <v>24000000</v>
      </c>
      <c r="F9" s="355">
        <f>IF(C9=0,0,$F$5)</f>
        <v>2</v>
      </c>
      <c r="G9" s="362">
        <f>F9*D9</f>
        <v>8000000</v>
      </c>
      <c r="H9" s="368">
        <f>E9-G9</f>
        <v>16000000</v>
      </c>
      <c r="I9" s="341">
        <f>IF(C9=0,0,$I$5)</f>
        <v>0</v>
      </c>
      <c r="J9" s="345">
        <f>H9-I9</f>
        <v>16000000</v>
      </c>
      <c r="K9" s="371">
        <f>C9-F9</f>
        <v>4</v>
      </c>
      <c r="L9" s="369">
        <f>D9/$D$3</f>
        <v>1000000</v>
      </c>
      <c r="M9" s="369">
        <f>IF(L9=0,0,H9/L9)</f>
        <v>16</v>
      </c>
      <c r="N9" s="340"/>
      <c r="O9" s="350"/>
    </row>
    <row r="10" spans="1:15" ht="13.5" customHeight="1" thickBot="1">
      <c r="A10" s="350"/>
      <c r="B10" s="352"/>
      <c r="C10" s="357"/>
      <c r="D10" s="359"/>
      <c r="E10" s="363"/>
      <c r="F10" s="364"/>
      <c r="G10" s="363"/>
      <c r="H10" s="367"/>
      <c r="I10" s="342"/>
      <c r="J10" s="344"/>
      <c r="K10" s="352"/>
      <c r="L10" s="370"/>
      <c r="M10" s="370"/>
      <c r="N10" s="349">
        <f>IF(L11=0,0,(H11-H9)/(L11-L9))</f>
        <v>7</v>
      </c>
      <c r="O10" s="349">
        <f>IF(L11-L9&lt;0,0,L11-L9)</f>
        <v>125000</v>
      </c>
    </row>
    <row r="11" spans="1:15" ht="13.5" customHeight="1" thickBot="1">
      <c r="A11" s="349" t="str">
        <f>IF(C11=0,0,CONCATENATE(B11," ",$D$2))</f>
        <v>4 Top</v>
      </c>
      <c r="B11" s="351">
        <v>4</v>
      </c>
      <c r="C11" s="353">
        <v>5.75</v>
      </c>
      <c r="D11" s="360">
        <v>4500000</v>
      </c>
      <c r="E11" s="362">
        <f>D11*C11</f>
        <v>25875000</v>
      </c>
      <c r="F11" s="355">
        <f>IF(C11=0,0,$F$5)</f>
        <v>2</v>
      </c>
      <c r="G11" s="362">
        <f>F11*D11</f>
        <v>9000000</v>
      </c>
      <c r="H11" s="368">
        <f>E11-G11</f>
        <v>16875000</v>
      </c>
      <c r="I11" s="341">
        <f>IF(C11=0,0,$I$5)</f>
        <v>0</v>
      </c>
      <c r="J11" s="345">
        <f>H11-I11</f>
        <v>16875000</v>
      </c>
      <c r="K11" s="371">
        <f>C11-F11</f>
        <v>3.75</v>
      </c>
      <c r="L11" s="369">
        <f>D11/$D$3</f>
        <v>1125000</v>
      </c>
      <c r="M11" s="369">
        <f>IF(L11=0,0,H11/L11)</f>
        <v>15</v>
      </c>
      <c r="N11" s="340"/>
      <c r="O11" s="350"/>
    </row>
    <row r="12" spans="1:15" ht="13.5" customHeight="1" thickBot="1">
      <c r="A12" s="350"/>
      <c r="B12" s="352"/>
      <c r="C12" s="357"/>
      <c r="D12" s="359"/>
      <c r="E12" s="363"/>
      <c r="F12" s="356"/>
      <c r="G12" s="363"/>
      <c r="H12" s="367"/>
      <c r="I12" s="342"/>
      <c r="J12" s="344"/>
      <c r="K12" s="352"/>
      <c r="L12" s="370"/>
      <c r="M12" s="370"/>
      <c r="N12" s="349">
        <f>IF(L13=0,0,(H13-H11)/(L13-L11))</f>
        <v>-5</v>
      </c>
      <c r="O12" s="349">
        <f>IF(L13-L11&lt;0,0,L13-L11)</f>
        <v>125000</v>
      </c>
    </row>
    <row r="13" spans="1:15" ht="13.5" customHeight="1" thickBot="1">
      <c r="A13" s="349" t="str">
        <f>IF(C13=0,0,CONCATENATE(B13," ",$D$2))</f>
        <v>5 Top</v>
      </c>
      <c r="B13" s="351">
        <v>5</v>
      </c>
      <c r="C13" s="353">
        <v>5.25</v>
      </c>
      <c r="D13" s="360">
        <v>5000000</v>
      </c>
      <c r="E13" s="362">
        <f>D13*C13</f>
        <v>26250000</v>
      </c>
      <c r="F13" s="355">
        <f>IF(C13=0,0,$F$5)</f>
        <v>2</v>
      </c>
      <c r="G13" s="362">
        <f>F13*D13</f>
        <v>10000000</v>
      </c>
      <c r="H13" s="368">
        <f>E13-G13</f>
        <v>16250000</v>
      </c>
      <c r="I13" s="341">
        <f>IF(C13=0,0,$I$5)</f>
        <v>0</v>
      </c>
      <c r="J13" s="345">
        <f>H13-I13</f>
        <v>16250000</v>
      </c>
      <c r="K13" s="371">
        <f>C13-F13</f>
        <v>3.25</v>
      </c>
      <c r="L13" s="369">
        <f>D13/$D$3</f>
        <v>1250000</v>
      </c>
      <c r="M13" s="369">
        <f>IF(L13=0,0,H13/L13)</f>
        <v>13</v>
      </c>
      <c r="N13" s="340"/>
      <c r="O13" s="350"/>
    </row>
    <row r="14" spans="1:15" ht="13.5" customHeight="1" thickBot="1">
      <c r="A14" s="350"/>
      <c r="B14" s="352"/>
      <c r="C14" s="357"/>
      <c r="D14" s="359"/>
      <c r="E14" s="363"/>
      <c r="F14" s="356"/>
      <c r="G14" s="363"/>
      <c r="H14" s="367"/>
      <c r="I14" s="342"/>
      <c r="J14" s="344"/>
      <c r="K14" s="352"/>
      <c r="L14" s="370"/>
      <c r="M14" s="370"/>
      <c r="N14" s="349">
        <f>IF(L15=0,0,(H15-H13)/(L15-L13))</f>
        <v>0</v>
      </c>
      <c r="O14" s="349">
        <f>IF(L15-L13&lt;0,0,L15-L13)</f>
        <v>0</v>
      </c>
    </row>
    <row r="15" spans="1:15" ht="13.5" customHeight="1" thickBot="1">
      <c r="A15" s="349">
        <f>IF(C15=0,0,CONCATENATE(B15," ",$D$2))</f>
        <v>0</v>
      </c>
      <c r="B15" s="351">
        <v>6</v>
      </c>
      <c r="C15" s="353">
        <v>0</v>
      </c>
      <c r="D15" s="360">
        <v>0</v>
      </c>
      <c r="E15" s="362">
        <f>D15*C15</f>
        <v>0</v>
      </c>
      <c r="F15" s="355">
        <f>IF(C15=0,0,$F$5)</f>
        <v>0</v>
      </c>
      <c r="G15" s="362">
        <f>F15*D15</f>
        <v>0</v>
      </c>
      <c r="H15" s="368">
        <f>E15-G15</f>
        <v>0</v>
      </c>
      <c r="I15" s="341">
        <f>IF(C15=0,0,$I$5)</f>
        <v>0</v>
      </c>
      <c r="J15" s="345">
        <f>H15-I15</f>
        <v>0</v>
      </c>
      <c r="K15" s="371">
        <f>C15-F15</f>
        <v>0</v>
      </c>
      <c r="L15" s="369">
        <f>D15/$D$3</f>
        <v>0</v>
      </c>
      <c r="M15" s="369">
        <f>IF(L15=0,0,H15/L15)</f>
        <v>0</v>
      </c>
      <c r="N15" s="340"/>
      <c r="O15" s="350"/>
    </row>
    <row r="16" spans="1:15" ht="13.5" customHeight="1" thickBot="1">
      <c r="A16" s="350"/>
      <c r="B16" s="352"/>
      <c r="C16" s="357"/>
      <c r="D16" s="359"/>
      <c r="E16" s="363"/>
      <c r="F16" s="364"/>
      <c r="G16" s="363"/>
      <c r="H16" s="367"/>
      <c r="I16" s="342"/>
      <c r="J16" s="344"/>
      <c r="K16" s="352"/>
      <c r="L16" s="370"/>
      <c r="M16" s="370"/>
      <c r="N16" s="349">
        <f>IF(L17=0,0,(H17-H15)/(L17-L15))</f>
        <v>0</v>
      </c>
      <c r="O16" s="349">
        <f>IF(L17-L15&lt;0,0,L17-L15)</f>
        <v>0</v>
      </c>
    </row>
    <row r="17" spans="1:15" ht="13.5" customHeight="1" thickBot="1">
      <c r="A17" s="349">
        <f>IF(C17=0,0,CONCATENATE(B17," ",$D$2))</f>
        <v>0</v>
      </c>
      <c r="B17" s="351">
        <v>7</v>
      </c>
      <c r="C17" s="353">
        <v>0</v>
      </c>
      <c r="D17" s="360">
        <v>0</v>
      </c>
      <c r="E17" s="362">
        <f>D17*C17</f>
        <v>0</v>
      </c>
      <c r="F17" s="355">
        <f>IF(C17=0,0,$F$5)</f>
        <v>0</v>
      </c>
      <c r="G17" s="362">
        <f>F17*D17</f>
        <v>0</v>
      </c>
      <c r="H17" s="368">
        <f>E17-G17</f>
        <v>0</v>
      </c>
      <c r="I17" s="341">
        <f>IF(C17=0,0,$I$5)</f>
        <v>0</v>
      </c>
      <c r="J17" s="345">
        <f>H17-I17</f>
        <v>0</v>
      </c>
      <c r="K17" s="371">
        <f>C17-F17</f>
        <v>0</v>
      </c>
      <c r="L17" s="369">
        <f>D17/$D$3</f>
        <v>0</v>
      </c>
      <c r="M17" s="369">
        <f>IF(L17=0,0,H17/L17)</f>
        <v>0</v>
      </c>
      <c r="N17" s="340"/>
      <c r="O17" s="350"/>
    </row>
    <row r="18" spans="1:15" ht="13.5" customHeight="1" thickBot="1">
      <c r="A18" s="350"/>
      <c r="B18" s="352"/>
      <c r="C18" s="354"/>
      <c r="D18" s="336"/>
      <c r="E18" s="337"/>
      <c r="F18" s="364"/>
      <c r="G18" s="337"/>
      <c r="H18" s="339"/>
      <c r="I18" s="342"/>
      <c r="J18" s="338"/>
      <c r="K18" s="352"/>
      <c r="L18" s="370"/>
      <c r="M18" s="370"/>
      <c r="N18" s="349">
        <f>IF(L19=0,0,(H19-H17)/(L19-L17))</f>
        <v>0</v>
      </c>
      <c r="O18" s="349">
        <f>IF(L19-L17&lt;0,0,L19-L17)</f>
        <v>0</v>
      </c>
    </row>
    <row r="19" spans="1:15" ht="12.75" customHeight="1" thickBot="1">
      <c r="A19" s="349">
        <f>IF(C19=0,0,CONCATENATE(B19," ",$D$2))</f>
        <v>0</v>
      </c>
      <c r="B19" s="351">
        <v>8</v>
      </c>
      <c r="C19" s="353">
        <v>0</v>
      </c>
      <c r="D19" s="360">
        <v>0</v>
      </c>
      <c r="E19" s="362">
        <f>D19*C19</f>
        <v>0</v>
      </c>
      <c r="F19" s="355">
        <f>IF(C19=0,0,$F$5)</f>
        <v>0</v>
      </c>
      <c r="G19" s="362">
        <f>F19*D19</f>
        <v>0</v>
      </c>
      <c r="H19" s="368">
        <f>E19-G19</f>
        <v>0</v>
      </c>
      <c r="I19" s="341">
        <f>IF(C19=0,0,$I$5)</f>
        <v>0</v>
      </c>
      <c r="J19" s="345">
        <f>H19-I19</f>
        <v>0</v>
      </c>
      <c r="K19" s="377">
        <f>C19-F19</f>
        <v>0</v>
      </c>
      <c r="L19" s="369">
        <f>D19/$D$3</f>
        <v>0</v>
      </c>
      <c r="M19" s="369">
        <f>IF(L19=0,0,H19/L19)</f>
        <v>0</v>
      </c>
      <c r="N19" s="340"/>
      <c r="O19" s="350"/>
    </row>
    <row r="20" spans="1:14" ht="13.5" customHeight="1" thickBot="1">
      <c r="A20" s="350"/>
      <c r="B20" s="352"/>
      <c r="C20" s="354"/>
      <c r="D20" s="336"/>
      <c r="E20" s="337"/>
      <c r="F20" s="356"/>
      <c r="G20" s="337"/>
      <c r="H20" s="339"/>
      <c r="I20" s="378"/>
      <c r="J20" s="338"/>
      <c r="K20" s="352"/>
      <c r="L20" s="370"/>
      <c r="M20" s="370"/>
      <c r="N20" s="379"/>
    </row>
    <row r="21" spans="3:14" ht="12.75" hidden="1">
      <c r="C21" s="373"/>
      <c r="D21" s="374"/>
      <c r="E21" s="374"/>
      <c r="F21" s="373"/>
      <c r="G21" s="374"/>
      <c r="H21" s="374"/>
      <c r="I21" s="374"/>
      <c r="J21" s="374"/>
      <c r="K21" s="375"/>
      <c r="L21" s="379"/>
      <c r="M21" s="379"/>
      <c r="N21" s="376"/>
    </row>
    <row r="22" spans="3:14" ht="12.75" hidden="1">
      <c r="C22" s="373"/>
      <c r="D22" s="374"/>
      <c r="E22" s="374"/>
      <c r="F22" s="373"/>
      <c r="G22" s="374"/>
      <c r="H22" s="374"/>
      <c r="I22" s="374"/>
      <c r="J22" s="374"/>
      <c r="K22" s="376"/>
      <c r="L22" s="376"/>
      <c r="M22" s="379"/>
      <c r="N22" s="379"/>
    </row>
    <row r="23" spans="3:14" ht="12.75" hidden="1">
      <c r="C23" s="373"/>
      <c r="D23" s="374"/>
      <c r="E23" s="374"/>
      <c r="F23" s="373"/>
      <c r="G23" s="374"/>
      <c r="H23" s="374"/>
      <c r="I23" s="374"/>
      <c r="J23" s="374"/>
      <c r="K23" s="375"/>
      <c r="L23" s="379"/>
      <c r="M23" s="379"/>
      <c r="N23" s="376"/>
    </row>
    <row r="24" spans="3:13" ht="12.75" hidden="1">
      <c r="C24" s="373"/>
      <c r="D24" s="374"/>
      <c r="E24" s="374"/>
      <c r="F24" s="373"/>
      <c r="G24" s="374"/>
      <c r="H24" s="374"/>
      <c r="I24" s="374"/>
      <c r="J24" s="374"/>
      <c r="K24" s="376"/>
      <c r="L24" s="376"/>
      <c r="M24" s="379"/>
    </row>
    <row r="25" spans="3:10" ht="21">
      <c r="C25" t="s">
        <v>9</v>
      </c>
      <c r="D25" s="1">
        <f>MAX(J5:J24)</f>
        <v>16875000</v>
      </c>
      <c r="E25" t="s">
        <v>8</v>
      </c>
      <c r="F25" s="13"/>
      <c r="G25" s="12"/>
      <c r="H25" s="13"/>
      <c r="I25" s="13"/>
      <c r="J25" s="14"/>
    </row>
    <row r="26" spans="3:10" ht="21">
      <c r="C26" s="11" t="s">
        <v>14</v>
      </c>
      <c r="D26" s="12">
        <f>IF(D25=J5,C5,IF(D25=J7,C7,IF(D25=J9,C9,IF(D25=J11,C11,IF(D25=J13,C13,IF(D25=J15,C15,IF(D25=J17,C17,IF(D25=J19,C19,"ingen"))))))))</f>
        <v>5.75</v>
      </c>
      <c r="E26" s="12"/>
      <c r="F26" s="13"/>
      <c r="G26" s="12"/>
      <c r="H26" s="13"/>
      <c r="I26" s="13"/>
      <c r="J26" s="14"/>
    </row>
    <row r="27" spans="3:10" ht="21">
      <c r="C27" s="11" t="s">
        <v>15</v>
      </c>
      <c r="D27" s="12">
        <f>IF($D$25=J5,D5,IF($D$25=J7,D7,IF($D$25=J9,D9,IF($D$25=J11,D11,IF($D$25=J13,D13,IF($D$25=J15,D15,IF($D$25=J17,D17,IF(D26=J19,D19,"ingen"))))))))</f>
        <v>4500000</v>
      </c>
      <c r="E27" s="12"/>
      <c r="F27" s="13"/>
      <c r="G27" s="12"/>
      <c r="H27" s="13"/>
      <c r="I27" s="13"/>
      <c r="J27" s="14"/>
    </row>
    <row r="28" spans="3:10" ht="22.5" hidden="1">
      <c r="C28" s="11"/>
      <c r="D28" s="12"/>
      <c r="E28" s="12"/>
      <c r="F28" s="13"/>
      <c r="G28" s="12"/>
      <c r="H28" s="13"/>
      <c r="I28" s="13"/>
      <c r="J28" s="14"/>
    </row>
    <row r="29" ht="18">
      <c r="C29" s="2"/>
    </row>
    <row r="30" spans="3:4" ht="15.75">
      <c r="C30" s="9" t="s">
        <v>12</v>
      </c>
      <c r="D30" s="15" t="s">
        <v>54</v>
      </c>
    </row>
    <row r="31" spans="3:5" ht="16.5" thickBot="1">
      <c r="C31" s="9" t="s">
        <v>13</v>
      </c>
      <c r="D31" s="15">
        <v>4</v>
      </c>
      <c r="E31" t="str">
        <f>E3</f>
        <v>flasker pr. liter.</v>
      </c>
    </row>
    <row r="32" spans="1:15" ht="30.75" thickBot="1">
      <c r="A32" s="50" t="str">
        <f>A4</f>
        <v>Navn</v>
      </c>
      <c r="B32" s="49" t="str">
        <f>B4</f>
        <v>Nr.</v>
      </c>
      <c r="C32" s="3" t="s">
        <v>0</v>
      </c>
      <c r="D32" s="4" t="s">
        <v>1</v>
      </c>
      <c r="E32" s="4" t="s">
        <v>2</v>
      </c>
      <c r="F32" s="4" t="s">
        <v>7</v>
      </c>
      <c r="G32" s="4" t="s">
        <v>3</v>
      </c>
      <c r="H32" s="4" t="s">
        <v>4</v>
      </c>
      <c r="I32" s="4" t="s">
        <v>5</v>
      </c>
      <c r="J32" s="5" t="s">
        <v>6</v>
      </c>
      <c r="K32" s="6" t="s">
        <v>10</v>
      </c>
      <c r="L32" s="7" t="str">
        <f>L4</f>
        <v>Antal liter</v>
      </c>
      <c r="M32" s="10" t="str">
        <f>M4</f>
        <v>DB pr liter</v>
      </c>
      <c r="N32" s="8" t="str">
        <f>N4</f>
        <v>Differensbidrag pr. liter</v>
      </c>
      <c r="O32" s="21" t="str">
        <f>O4</f>
        <v>ekstra liter</v>
      </c>
    </row>
    <row r="33" spans="1:15" ht="13.5" thickBot="1">
      <c r="A33" s="349" t="str">
        <f>IF(C33=0,0,CONCATENATE(B33," ",$D$30))</f>
        <v>1 Ekstra</v>
      </c>
      <c r="B33" s="351">
        <f>B5</f>
        <v>1</v>
      </c>
      <c r="C33" s="380">
        <v>8</v>
      </c>
      <c r="D33" s="382">
        <v>600000</v>
      </c>
      <c r="E33" s="365">
        <f>D33*C33</f>
        <v>4800000</v>
      </c>
      <c r="F33" s="384">
        <v>2.5</v>
      </c>
      <c r="G33" s="365">
        <f>F33*D33</f>
        <v>1500000</v>
      </c>
      <c r="H33" s="366">
        <f>E33-G33</f>
        <v>3300000</v>
      </c>
      <c r="I33" s="385">
        <v>0</v>
      </c>
      <c r="J33" s="343">
        <f>H33-I33</f>
        <v>3300000</v>
      </c>
      <c r="K33" s="371">
        <f>C33-F33</f>
        <v>5.5</v>
      </c>
      <c r="L33" s="372">
        <f>D33/$D$31</f>
        <v>150000</v>
      </c>
      <c r="M33" s="369">
        <f>IF(L33=0,0,H33/L33)</f>
        <v>22</v>
      </c>
      <c r="N33" s="45">
        <f>IF(L33=0,0,H33/L33)</f>
        <v>22</v>
      </c>
      <c r="O33" s="23">
        <f>L33</f>
        <v>150000</v>
      </c>
    </row>
    <row r="34" spans="1:15" ht="13.5" thickBot="1">
      <c r="A34" s="350"/>
      <c r="B34" s="352"/>
      <c r="C34" s="381"/>
      <c r="D34" s="383"/>
      <c r="E34" s="363"/>
      <c r="F34" s="381"/>
      <c r="G34" s="363"/>
      <c r="H34" s="367"/>
      <c r="I34" s="386"/>
      <c r="J34" s="344"/>
      <c r="K34" s="352"/>
      <c r="L34" s="352"/>
      <c r="M34" s="370"/>
      <c r="N34" s="349">
        <f>IF(L35=0,0,(H35-H33)/(L35-L33))</f>
        <v>13.5</v>
      </c>
      <c r="O34" s="349">
        <f>IF(L35-L33&lt;0,0,(L35-L33))</f>
        <v>20000</v>
      </c>
    </row>
    <row r="35" spans="1:15" ht="13.5" thickBot="1">
      <c r="A35" s="349" t="str">
        <f>IF(C35=0,0,CONCATENATE(B35," ",$D$30))</f>
        <v>2 Ekstra</v>
      </c>
      <c r="B35" s="351">
        <f>B7</f>
        <v>2</v>
      </c>
      <c r="C35" s="384">
        <v>7.75</v>
      </c>
      <c r="D35" s="387">
        <v>680000</v>
      </c>
      <c r="E35" s="362">
        <f>D35*C35</f>
        <v>5270000</v>
      </c>
      <c r="F35" s="355">
        <f>IF(C35=0,0,$F$33)</f>
        <v>2.5</v>
      </c>
      <c r="G35" s="362">
        <f>F35*D35</f>
        <v>1700000</v>
      </c>
      <c r="H35" s="368">
        <f>E35-G35</f>
        <v>3570000</v>
      </c>
      <c r="I35" s="341">
        <f>IF(C35=0,0,$I$33)</f>
        <v>0</v>
      </c>
      <c r="J35" s="345">
        <f>H35-I35</f>
        <v>3570000</v>
      </c>
      <c r="K35" s="371">
        <f>C35-F35</f>
        <v>5.25</v>
      </c>
      <c r="L35" s="372">
        <f>D35/$D$31</f>
        <v>170000</v>
      </c>
      <c r="M35" s="369">
        <f>IF(L35=0,0,H35/L35)</f>
        <v>21</v>
      </c>
      <c r="N35" s="340"/>
      <c r="O35" s="350"/>
    </row>
    <row r="36" spans="1:15" ht="13.5" thickBot="1">
      <c r="A36" s="350"/>
      <c r="B36" s="352"/>
      <c r="C36" s="381"/>
      <c r="D36" s="383"/>
      <c r="E36" s="363"/>
      <c r="F36" s="364"/>
      <c r="G36" s="363"/>
      <c r="H36" s="367"/>
      <c r="I36" s="342"/>
      <c r="J36" s="344"/>
      <c r="K36" s="352"/>
      <c r="L36" s="352"/>
      <c r="M36" s="370"/>
      <c r="N36" s="349">
        <f>IF(L37=0,0,(H37-H35)/(L37-L35))</f>
        <v>13.2</v>
      </c>
      <c r="O36" s="349">
        <f>IF(L37-L35&lt;0,0,(L37-L35))</f>
        <v>25000</v>
      </c>
    </row>
    <row r="37" spans="1:15" ht="13.5" customHeight="1" thickBot="1">
      <c r="A37" s="349" t="str">
        <f>IF(C37=0,0,CONCATENATE(B37," ",$D$30))</f>
        <v>3 Ekstra</v>
      </c>
      <c r="B37" s="351">
        <f>B9</f>
        <v>3</v>
      </c>
      <c r="C37" s="384">
        <v>7.5</v>
      </c>
      <c r="D37" s="387">
        <v>780000</v>
      </c>
      <c r="E37" s="362">
        <f>D37*C37</f>
        <v>5850000</v>
      </c>
      <c r="F37" s="355">
        <f>IF(C37=0,0,$F$33)</f>
        <v>2.5</v>
      </c>
      <c r="G37" s="362">
        <f>F37*D37</f>
        <v>1950000</v>
      </c>
      <c r="H37" s="368">
        <f>E37-G37</f>
        <v>3900000</v>
      </c>
      <c r="I37" s="341">
        <f>IF(C37=0,0,$I$33)</f>
        <v>0</v>
      </c>
      <c r="J37" s="345">
        <f>H37-I37</f>
        <v>3900000</v>
      </c>
      <c r="K37" s="371">
        <f>C37-F37</f>
        <v>5</v>
      </c>
      <c r="L37" s="372">
        <f>D37/$D$31</f>
        <v>195000</v>
      </c>
      <c r="M37" s="369">
        <f>IF(L37=0,0,H37/L37)</f>
        <v>20</v>
      </c>
      <c r="N37" s="340"/>
      <c r="O37" s="350"/>
    </row>
    <row r="38" spans="1:15" ht="13.5" customHeight="1" thickBot="1">
      <c r="A38" s="350"/>
      <c r="B38" s="352"/>
      <c r="C38" s="381"/>
      <c r="D38" s="383"/>
      <c r="E38" s="363"/>
      <c r="F38" s="364"/>
      <c r="G38" s="363"/>
      <c r="H38" s="367"/>
      <c r="I38" s="342"/>
      <c r="J38" s="344"/>
      <c r="K38" s="352"/>
      <c r="L38" s="352"/>
      <c r="M38" s="370"/>
      <c r="N38" s="349">
        <f>IF(L39=0,0,(H39-H37)/(L39-L37))</f>
        <v>3.4</v>
      </c>
      <c r="O38" s="349">
        <f>IF(L39-L37&lt;0,0,(L39-L37))</f>
        <v>12500</v>
      </c>
    </row>
    <row r="39" spans="1:15" ht="13.5" customHeight="1" thickBot="1">
      <c r="A39" s="349" t="str">
        <f>IF(C39=0,0,CONCATENATE(B39," ",$D$30))</f>
        <v>4 Ekstra</v>
      </c>
      <c r="B39" s="351">
        <f>B11</f>
        <v>4</v>
      </c>
      <c r="C39" s="384">
        <v>7.25</v>
      </c>
      <c r="D39" s="387">
        <v>830000</v>
      </c>
      <c r="E39" s="362">
        <f>D39*C39</f>
        <v>6017500</v>
      </c>
      <c r="F39" s="355">
        <f>IF(C39=0,0,$F$33)</f>
        <v>2.5</v>
      </c>
      <c r="G39" s="362">
        <f>F39*D39</f>
        <v>2075000</v>
      </c>
      <c r="H39" s="368">
        <f>E39-G39</f>
        <v>3942500</v>
      </c>
      <c r="I39" s="341">
        <f>IF(C39=0,0,$I$33)</f>
        <v>0</v>
      </c>
      <c r="J39" s="345">
        <f>H39-I39</f>
        <v>3942500</v>
      </c>
      <c r="K39" s="371">
        <f>C39-F39</f>
        <v>4.75</v>
      </c>
      <c r="L39" s="372">
        <f>D39/$D$31</f>
        <v>207500</v>
      </c>
      <c r="M39" s="369">
        <f>IF(L39=0,0,H39/L39)</f>
        <v>19</v>
      </c>
      <c r="N39" s="340"/>
      <c r="O39" s="350"/>
    </row>
    <row r="40" spans="1:15" ht="13.5" customHeight="1" thickBot="1">
      <c r="A40" s="350"/>
      <c r="B40" s="352"/>
      <c r="C40" s="381"/>
      <c r="D40" s="383"/>
      <c r="E40" s="363"/>
      <c r="F40" s="364"/>
      <c r="G40" s="363"/>
      <c r="H40" s="367"/>
      <c r="I40" s="342"/>
      <c r="J40" s="344"/>
      <c r="K40" s="352"/>
      <c r="L40" s="352"/>
      <c r="M40" s="370"/>
      <c r="N40" s="349">
        <f>IF(L41=0,0,(H41-H39)/(L41-L39))</f>
        <v>6.142857142857143</v>
      </c>
      <c r="O40" s="349">
        <f>IF(L41-L39&lt;0,0,(L41-L39))</f>
        <v>17500</v>
      </c>
    </row>
    <row r="41" spans="1:15" ht="13.5" customHeight="1" thickBot="1">
      <c r="A41" s="349" t="str">
        <f>IF(C41=0,0,CONCATENATE(B41," ",$D$30))</f>
        <v>5 Ekstra</v>
      </c>
      <c r="B41" s="351">
        <f>B13</f>
        <v>5</v>
      </c>
      <c r="C41" s="384">
        <v>7</v>
      </c>
      <c r="D41" s="387">
        <v>900000</v>
      </c>
      <c r="E41" s="362">
        <f>D41*C41</f>
        <v>6300000</v>
      </c>
      <c r="F41" s="355">
        <f>IF(C41=0,0,$F$33)</f>
        <v>2.5</v>
      </c>
      <c r="G41" s="362">
        <f>F41*D41</f>
        <v>2250000</v>
      </c>
      <c r="H41" s="368">
        <f>E41-G41</f>
        <v>4050000</v>
      </c>
      <c r="I41" s="341">
        <f>IF(C41=0,0,$I$33)</f>
        <v>0</v>
      </c>
      <c r="J41" s="345">
        <f>H41-I41</f>
        <v>4050000</v>
      </c>
      <c r="K41" s="371">
        <f>C41-F41</f>
        <v>4.5</v>
      </c>
      <c r="L41" s="372">
        <f>D41/$D$31</f>
        <v>225000</v>
      </c>
      <c r="M41" s="369">
        <f>IF(L41=0,0,H41/L41)</f>
        <v>18</v>
      </c>
      <c r="N41" s="340"/>
      <c r="O41" s="350"/>
    </row>
    <row r="42" spans="1:15" ht="13.5" customHeight="1" thickBot="1">
      <c r="A42" s="350"/>
      <c r="B42" s="352"/>
      <c r="C42" s="381"/>
      <c r="D42" s="383"/>
      <c r="E42" s="363"/>
      <c r="F42" s="364"/>
      <c r="G42" s="363"/>
      <c r="H42" s="367"/>
      <c r="I42" s="342"/>
      <c r="J42" s="344"/>
      <c r="K42" s="352"/>
      <c r="L42" s="352"/>
      <c r="M42" s="370"/>
      <c r="N42" s="349">
        <f>IF(L43=0,0,(H43-H41)/(L43-L41))</f>
        <v>0</v>
      </c>
      <c r="O42" s="349">
        <f>IF(L43-L41&lt;0,0,(L43-L41))</f>
        <v>0</v>
      </c>
    </row>
    <row r="43" spans="1:15" ht="13.5" customHeight="1" thickBot="1">
      <c r="A43" s="349">
        <f>IF(C43=0,0,CONCATENATE(B43," ",$D$30))</f>
        <v>0</v>
      </c>
      <c r="B43" s="351">
        <f>B15</f>
        <v>6</v>
      </c>
      <c r="C43" s="384">
        <v>0</v>
      </c>
      <c r="D43" s="387">
        <v>0</v>
      </c>
      <c r="E43" s="362">
        <f>D43*C43</f>
        <v>0</v>
      </c>
      <c r="F43" s="355">
        <f>IF(C43=0,0,$F$33)</f>
        <v>0</v>
      </c>
      <c r="G43" s="362">
        <f>F43*D43</f>
        <v>0</v>
      </c>
      <c r="H43" s="368">
        <f>E43-G43</f>
        <v>0</v>
      </c>
      <c r="I43" s="341">
        <f>IF(C43=0,0,$I$33)</f>
        <v>0</v>
      </c>
      <c r="J43" s="345">
        <f>H43-I43</f>
        <v>0</v>
      </c>
      <c r="K43" s="371">
        <f>C43-F43</f>
        <v>0</v>
      </c>
      <c r="L43" s="372">
        <f>D43/$D$31</f>
        <v>0</v>
      </c>
      <c r="M43" s="369">
        <f>IF(L43=0,0,H43/L43)</f>
        <v>0</v>
      </c>
      <c r="N43" s="340"/>
      <c r="O43" s="350"/>
    </row>
    <row r="44" spans="1:15" ht="13.5" customHeight="1" thickBot="1">
      <c r="A44" s="350"/>
      <c r="B44" s="352"/>
      <c r="C44" s="381"/>
      <c r="D44" s="383"/>
      <c r="E44" s="363"/>
      <c r="F44" s="364"/>
      <c r="G44" s="363"/>
      <c r="H44" s="367"/>
      <c r="I44" s="342"/>
      <c r="J44" s="344"/>
      <c r="K44" s="352"/>
      <c r="L44" s="352"/>
      <c r="M44" s="370"/>
      <c r="N44" s="349">
        <f>IF(L45=0,0,(H45-H43)/(L45-L43))</f>
        <v>0</v>
      </c>
      <c r="O44" s="349">
        <f>IF(L45-L43&lt;0,0,(L45-L43))</f>
        <v>0</v>
      </c>
    </row>
    <row r="45" spans="1:15" ht="13.5" customHeight="1" thickBot="1">
      <c r="A45" s="349">
        <f>IF(C45=0,0,CONCATENATE(B45," ",$D$30))</f>
        <v>0</v>
      </c>
      <c r="B45" s="351">
        <f>B17</f>
        <v>7</v>
      </c>
      <c r="C45" s="384">
        <v>0</v>
      </c>
      <c r="D45" s="387">
        <v>0</v>
      </c>
      <c r="E45" s="362">
        <f>D45*C45</f>
        <v>0</v>
      </c>
      <c r="F45" s="355">
        <f>IF(C45=0,0,$F$33)</f>
        <v>0</v>
      </c>
      <c r="G45" s="362">
        <f>F45*D45</f>
        <v>0</v>
      </c>
      <c r="H45" s="368">
        <f>E45-G45</f>
        <v>0</v>
      </c>
      <c r="I45" s="341">
        <f>IF(C45=0,0,$I$33)</f>
        <v>0</v>
      </c>
      <c r="J45" s="345">
        <f>H45-I45</f>
        <v>0</v>
      </c>
      <c r="K45" s="371">
        <f>C45-F45</f>
        <v>0</v>
      </c>
      <c r="L45" s="372">
        <f>D45/$D$31</f>
        <v>0</v>
      </c>
      <c r="M45" s="369">
        <f>IF(L45=0,0,H45/L45)</f>
        <v>0</v>
      </c>
      <c r="N45" s="340"/>
      <c r="O45" s="350"/>
    </row>
    <row r="46" spans="1:15" ht="13.5" customHeight="1" thickBot="1">
      <c r="A46" s="350"/>
      <c r="B46" s="352"/>
      <c r="C46" s="388"/>
      <c r="D46" s="389"/>
      <c r="E46" s="337"/>
      <c r="F46" s="364"/>
      <c r="G46" s="337"/>
      <c r="H46" s="339"/>
      <c r="I46" s="342"/>
      <c r="J46" s="338"/>
      <c r="K46" s="352"/>
      <c r="L46" s="352"/>
      <c r="M46" s="370"/>
      <c r="N46" s="349">
        <f>IF(L47=0,0,(H47-H45)/(L47-L45))</f>
        <v>0</v>
      </c>
      <c r="O46" s="349">
        <f>IF(L47-L45&lt;0,0,(L47-L45))</f>
        <v>0</v>
      </c>
    </row>
    <row r="47" spans="1:15" ht="13.5" customHeight="1" thickBot="1">
      <c r="A47" s="349">
        <f>IF(C47=0,0,CONCATENATE(B47," ",$D$30))</f>
        <v>0</v>
      </c>
      <c r="B47" s="351">
        <f>B19</f>
        <v>8</v>
      </c>
      <c r="C47" s="384">
        <v>0</v>
      </c>
      <c r="D47" s="387">
        <v>0</v>
      </c>
      <c r="E47" s="362">
        <f>D47*C47</f>
        <v>0</v>
      </c>
      <c r="F47" s="355">
        <f>IF(C47=0,0,$F$33)</f>
        <v>0</v>
      </c>
      <c r="G47" s="362">
        <f>F47*D47</f>
        <v>0</v>
      </c>
      <c r="H47" s="368">
        <f>E47-G47</f>
        <v>0</v>
      </c>
      <c r="I47" s="341">
        <f>IF(C47=0,0,$I$33)</f>
        <v>0</v>
      </c>
      <c r="J47" s="345">
        <f>H47-I47</f>
        <v>0</v>
      </c>
      <c r="K47" s="377">
        <f>C47-F47</f>
        <v>0</v>
      </c>
      <c r="L47" s="372">
        <f>D47/$D$31</f>
        <v>0</v>
      </c>
      <c r="M47" s="369">
        <f>IF(L47=0,0,H47/L47)</f>
        <v>0</v>
      </c>
      <c r="N47" s="340"/>
      <c r="O47" s="350"/>
    </row>
    <row r="48" spans="1:14" ht="13.5" customHeight="1" thickBot="1">
      <c r="A48" s="350"/>
      <c r="B48" s="352"/>
      <c r="C48" s="388"/>
      <c r="D48" s="389"/>
      <c r="E48" s="337"/>
      <c r="F48" s="356"/>
      <c r="G48" s="337"/>
      <c r="H48" s="339"/>
      <c r="I48" s="378"/>
      <c r="J48" s="338"/>
      <c r="K48" s="352"/>
      <c r="L48" s="352"/>
      <c r="M48" s="370"/>
      <c r="N48" s="379"/>
    </row>
    <row r="49" spans="3:14" ht="12.75" hidden="1">
      <c r="C49" s="373"/>
      <c r="D49" s="374"/>
      <c r="E49" s="374"/>
      <c r="F49" s="373"/>
      <c r="G49" s="374"/>
      <c r="H49" s="374"/>
      <c r="I49" s="374"/>
      <c r="J49" s="374"/>
      <c r="K49" s="375"/>
      <c r="L49" s="379"/>
      <c r="M49" s="379"/>
      <c r="N49" s="376"/>
    </row>
    <row r="50" spans="3:14" ht="12.75" hidden="1">
      <c r="C50" s="373"/>
      <c r="D50" s="374"/>
      <c r="E50" s="374"/>
      <c r="F50" s="373"/>
      <c r="G50" s="374"/>
      <c r="H50" s="374"/>
      <c r="I50" s="374"/>
      <c r="J50" s="374"/>
      <c r="K50" s="376"/>
      <c r="L50" s="376"/>
      <c r="M50" s="379"/>
      <c r="N50" s="379"/>
    </row>
    <row r="51" spans="3:14" ht="12.75" hidden="1">
      <c r="C51" s="373"/>
      <c r="D51" s="374"/>
      <c r="E51" s="374"/>
      <c r="F51" s="373"/>
      <c r="G51" s="374"/>
      <c r="H51" s="374"/>
      <c r="I51" s="374"/>
      <c r="J51" s="374"/>
      <c r="K51" s="375"/>
      <c r="L51" s="379"/>
      <c r="M51" s="379"/>
      <c r="N51" s="376"/>
    </row>
    <row r="52" spans="3:13" ht="12.75" hidden="1">
      <c r="C52" s="373"/>
      <c r="D52" s="374"/>
      <c r="E52" s="374"/>
      <c r="F52" s="373"/>
      <c r="G52" s="374"/>
      <c r="H52" s="374"/>
      <c r="I52" s="374"/>
      <c r="J52" s="374"/>
      <c r="K52" s="376"/>
      <c r="L52" s="376"/>
      <c r="M52" s="379"/>
    </row>
    <row r="53" spans="3:10" ht="21">
      <c r="C53" t="s">
        <v>9</v>
      </c>
      <c r="D53" s="1">
        <f>MAX(J33:J52)</f>
        <v>4050000</v>
      </c>
      <c r="E53" t="s">
        <v>8</v>
      </c>
      <c r="F53" s="13"/>
      <c r="G53" s="12"/>
      <c r="H53" s="13"/>
      <c r="I53" s="13"/>
      <c r="J53" s="14"/>
    </row>
    <row r="54" spans="3:10" ht="21">
      <c r="C54" s="11" t="s">
        <v>14</v>
      </c>
      <c r="D54" s="12">
        <f>IF(D53=J33,C33,IF(D53=J35,C35,IF(D53=J37,C37,IF(D53=J39,C39,IF(D53=J41,C41,IF(D53=J43,C43,IF(D53=J45,C45,IF(D53=J47,C47,"ingen"))))))))</f>
        <v>7</v>
      </c>
      <c r="E54" s="12"/>
      <c r="F54" s="13"/>
      <c r="G54" s="12"/>
      <c r="H54" s="13"/>
      <c r="I54" s="13"/>
      <c r="J54" s="14"/>
    </row>
    <row r="55" spans="3:10" ht="21">
      <c r="C55" s="11" t="s">
        <v>15</v>
      </c>
      <c r="D55" s="12">
        <f>IF(D53=J33,D33,IF(D53=J35,D35,IF(D53=J37,D37,IF(D53=J39,D39,IF(D53=J41,D41,IF(D53=J43,D43,IF(D53=J45,D45,IF(D53=J47,D47,"ingen"))))))))</f>
        <v>900000</v>
      </c>
      <c r="E55" s="12"/>
      <c r="F55" s="13"/>
      <c r="G55" s="12"/>
      <c r="H55" s="13"/>
      <c r="I55" s="13"/>
      <c r="J55" s="14"/>
    </row>
    <row r="57" ht="18" hidden="1">
      <c r="C57" s="2"/>
    </row>
    <row r="58" spans="3:4" ht="15.75">
      <c r="C58" s="9" t="s">
        <v>12</v>
      </c>
      <c r="D58" s="16" t="s">
        <v>55</v>
      </c>
    </row>
    <row r="59" spans="3:5" ht="16.5" thickBot="1">
      <c r="C59" s="9" t="s">
        <v>13</v>
      </c>
      <c r="D59" s="16">
        <v>4</v>
      </c>
      <c r="E59" t="str">
        <f>E31</f>
        <v>flasker pr. liter.</v>
      </c>
    </row>
    <row r="60" spans="1:15" ht="30.75" thickBot="1">
      <c r="A60" s="50" t="str">
        <f>A32</f>
        <v>Navn</v>
      </c>
      <c r="B60" s="49" t="str">
        <f>B32</f>
        <v>Nr.</v>
      </c>
      <c r="C60" s="3" t="s">
        <v>0</v>
      </c>
      <c r="D60" s="4" t="s">
        <v>1</v>
      </c>
      <c r="E60" s="4" t="s">
        <v>2</v>
      </c>
      <c r="F60" s="4" t="s">
        <v>7</v>
      </c>
      <c r="G60" s="4" t="s">
        <v>3</v>
      </c>
      <c r="H60" s="4" t="s">
        <v>4</v>
      </c>
      <c r="I60" s="4" t="s">
        <v>5</v>
      </c>
      <c r="J60" s="5" t="s">
        <v>6</v>
      </c>
      <c r="K60" s="6" t="s">
        <v>10</v>
      </c>
      <c r="L60" s="7" t="s">
        <v>11</v>
      </c>
      <c r="M60" s="10" t="str">
        <f>M32</f>
        <v>DB pr liter</v>
      </c>
      <c r="N60" s="8" t="str">
        <f>N32</f>
        <v>Differensbidrag pr. liter</v>
      </c>
      <c r="O60" s="21" t="str">
        <f>O32</f>
        <v>ekstra liter</v>
      </c>
    </row>
    <row r="61" spans="1:15" ht="13.5" thickBot="1">
      <c r="A61" s="349" t="str">
        <f>IF(C61=0,0,CONCATENATE(B61," ",$D$58))</f>
        <v>1 Top export</v>
      </c>
      <c r="B61" s="351">
        <f>B33</f>
        <v>1</v>
      </c>
      <c r="C61" s="390">
        <v>5</v>
      </c>
      <c r="D61" s="392">
        <v>3720000</v>
      </c>
      <c r="E61" s="365">
        <f>D61*C61</f>
        <v>18600000</v>
      </c>
      <c r="F61" s="394">
        <v>2.25</v>
      </c>
      <c r="G61" s="365">
        <f>F61*D61</f>
        <v>8370000</v>
      </c>
      <c r="H61" s="366">
        <f>E61-G61</f>
        <v>10230000</v>
      </c>
      <c r="I61" s="395">
        <v>0</v>
      </c>
      <c r="J61" s="343">
        <f>H61-I61</f>
        <v>10230000</v>
      </c>
      <c r="K61" s="371">
        <f>C61-F61</f>
        <v>2.75</v>
      </c>
      <c r="L61" s="372">
        <f>D61/$D$59</f>
        <v>930000</v>
      </c>
      <c r="M61" s="369">
        <f>IF(L61=0,0,H61/L61)</f>
        <v>11</v>
      </c>
      <c r="N61" s="45">
        <f>IF(L61=0,0,H61/L61)</f>
        <v>11</v>
      </c>
      <c r="O61" s="23">
        <f>L61</f>
        <v>930000</v>
      </c>
    </row>
    <row r="62" spans="1:15" ht="13.5" thickBot="1">
      <c r="A62" s="350"/>
      <c r="B62" s="352"/>
      <c r="C62" s="391"/>
      <c r="D62" s="393"/>
      <c r="E62" s="363"/>
      <c r="F62" s="391"/>
      <c r="G62" s="363"/>
      <c r="H62" s="367"/>
      <c r="I62" s="396"/>
      <c r="J62" s="344"/>
      <c r="K62" s="352"/>
      <c r="L62" s="352"/>
      <c r="M62" s="370"/>
      <c r="N62" s="349">
        <f>IF(L63=0,0,(H63-H61)/(L63-L61))</f>
        <v>0</v>
      </c>
      <c r="O62" s="349">
        <f>IF(L63-L61&lt;0,0,L63-L61)</f>
        <v>0</v>
      </c>
    </row>
    <row r="63" spans="1:15" ht="13.5" thickBot="1">
      <c r="A63" s="349">
        <f>IF(C63=0,0,CONCATENATE(B63," ",$D$58))</f>
        <v>0</v>
      </c>
      <c r="B63" s="351">
        <f>B35</f>
        <v>2</v>
      </c>
      <c r="C63" s="394">
        <v>0</v>
      </c>
      <c r="D63" s="397">
        <v>0</v>
      </c>
      <c r="E63" s="362">
        <f>D63*C63</f>
        <v>0</v>
      </c>
      <c r="F63" s="355">
        <f>IF(C63=0,0,$F$61)</f>
        <v>0</v>
      </c>
      <c r="G63" s="362">
        <f>F63*D63</f>
        <v>0</v>
      </c>
      <c r="H63" s="368">
        <f>E63-G63</f>
        <v>0</v>
      </c>
      <c r="I63" s="341">
        <f>IF(C63=0,0,$I$61)</f>
        <v>0</v>
      </c>
      <c r="J63" s="345">
        <f>H63-I63</f>
        <v>0</v>
      </c>
      <c r="K63" s="371">
        <f>C63-F63</f>
        <v>0</v>
      </c>
      <c r="L63" s="372">
        <f>D63/$D$59</f>
        <v>0</v>
      </c>
      <c r="M63" s="369">
        <f>IF(L63=0,0,H63/L63)</f>
        <v>0</v>
      </c>
      <c r="N63" s="340"/>
      <c r="O63" s="350"/>
    </row>
    <row r="64" spans="1:15" ht="13.5" thickBot="1">
      <c r="A64" s="350"/>
      <c r="B64" s="352"/>
      <c r="C64" s="391"/>
      <c r="D64" s="393"/>
      <c r="E64" s="363"/>
      <c r="F64" s="364"/>
      <c r="G64" s="363"/>
      <c r="H64" s="367"/>
      <c r="I64" s="342"/>
      <c r="J64" s="344"/>
      <c r="K64" s="352"/>
      <c r="L64" s="352"/>
      <c r="M64" s="370"/>
      <c r="N64" s="349">
        <f>IF(L65=0,0,(H65-H63)/(L65-L63))</f>
        <v>0</v>
      </c>
      <c r="O64" s="349">
        <f>IF(L65-L63&lt;0,0,L65-L63)</f>
        <v>0</v>
      </c>
    </row>
    <row r="65" spans="1:15" ht="13.5" customHeight="1" thickBot="1">
      <c r="A65" s="349">
        <f>IF(C65=0,0,CONCATENATE(B65," ",$D$58))</f>
        <v>0</v>
      </c>
      <c r="B65" s="351">
        <f>B37</f>
        <v>3</v>
      </c>
      <c r="C65" s="394">
        <v>0</v>
      </c>
      <c r="D65" s="397">
        <v>0</v>
      </c>
      <c r="E65" s="362">
        <f>D65*C65</f>
        <v>0</v>
      </c>
      <c r="F65" s="355">
        <f>IF(C65=0,0,$F$61)</f>
        <v>0</v>
      </c>
      <c r="G65" s="362">
        <f>F65*D65</f>
        <v>0</v>
      </c>
      <c r="H65" s="368">
        <f>E65-G65</f>
        <v>0</v>
      </c>
      <c r="I65" s="341">
        <f>IF(C65=0,0,$I$61)</f>
        <v>0</v>
      </c>
      <c r="J65" s="345">
        <f>H65-I65</f>
        <v>0</v>
      </c>
      <c r="K65" s="371">
        <f>C65-F65</f>
        <v>0</v>
      </c>
      <c r="L65" s="372">
        <f>D65/$D$59</f>
        <v>0</v>
      </c>
      <c r="M65" s="369">
        <f>IF(L65=0,0,H65/L65)</f>
        <v>0</v>
      </c>
      <c r="N65" s="340"/>
      <c r="O65" s="350"/>
    </row>
    <row r="66" spans="1:15" ht="13.5" customHeight="1" thickBot="1">
      <c r="A66" s="350"/>
      <c r="B66" s="352"/>
      <c r="C66" s="391"/>
      <c r="D66" s="393"/>
      <c r="E66" s="363"/>
      <c r="F66" s="364"/>
      <c r="G66" s="363"/>
      <c r="H66" s="367"/>
      <c r="I66" s="342"/>
      <c r="J66" s="344"/>
      <c r="K66" s="352"/>
      <c r="L66" s="352"/>
      <c r="M66" s="370"/>
      <c r="N66" s="349">
        <f>IF(L67=0,0,(H67-H65)/(L67-L65))</f>
        <v>0</v>
      </c>
      <c r="O66" s="349">
        <f>IF(L67-L65&lt;0,0,L67-L65)</f>
        <v>0</v>
      </c>
    </row>
    <row r="67" spans="1:15" ht="13.5" customHeight="1" thickBot="1">
      <c r="A67" s="349">
        <f>IF(C67=0,0,CONCATENATE(B67," ",$D$58))</f>
        <v>0</v>
      </c>
      <c r="B67" s="351">
        <f>B39</f>
        <v>4</v>
      </c>
      <c r="C67" s="394">
        <v>0</v>
      </c>
      <c r="D67" s="397">
        <v>0</v>
      </c>
      <c r="E67" s="362">
        <f>D67*C67</f>
        <v>0</v>
      </c>
      <c r="F67" s="355">
        <f>IF(C67=0,0,$F$61)</f>
        <v>0</v>
      </c>
      <c r="G67" s="362">
        <f>F67*D67</f>
        <v>0</v>
      </c>
      <c r="H67" s="368">
        <f>E67-G67</f>
        <v>0</v>
      </c>
      <c r="I67" s="341">
        <f>IF(C67=0,0,$I$61)</f>
        <v>0</v>
      </c>
      <c r="J67" s="345">
        <f>H67-I67</f>
        <v>0</v>
      </c>
      <c r="K67" s="371">
        <f>C67-F67</f>
        <v>0</v>
      </c>
      <c r="L67" s="372">
        <f>D67/$D$59</f>
        <v>0</v>
      </c>
      <c r="M67" s="369">
        <f>IF(L67=0,0,H67/L67)</f>
        <v>0</v>
      </c>
      <c r="N67" s="340"/>
      <c r="O67" s="350"/>
    </row>
    <row r="68" spans="1:15" ht="13.5" customHeight="1" thickBot="1">
      <c r="A68" s="350"/>
      <c r="B68" s="352"/>
      <c r="C68" s="391"/>
      <c r="D68" s="393"/>
      <c r="E68" s="363"/>
      <c r="F68" s="364"/>
      <c r="G68" s="363"/>
      <c r="H68" s="367"/>
      <c r="I68" s="342"/>
      <c r="J68" s="344"/>
      <c r="K68" s="352"/>
      <c r="L68" s="352"/>
      <c r="M68" s="370"/>
      <c r="N68" s="349">
        <f>IF(L69=0,0,(H69-H67)/(L69-L67))</f>
        <v>0</v>
      </c>
      <c r="O68" s="349">
        <f>IF(L69-L67&lt;0,0,L69-L67)</f>
        <v>0</v>
      </c>
    </row>
    <row r="69" spans="1:15" ht="13.5" customHeight="1" thickBot="1">
      <c r="A69" s="349">
        <f>IF(C69=0,0,CONCATENATE(B69," ",$D$58))</f>
        <v>0</v>
      </c>
      <c r="B69" s="351">
        <f>B41</f>
        <v>5</v>
      </c>
      <c r="C69" s="394">
        <v>0</v>
      </c>
      <c r="D69" s="397">
        <v>0</v>
      </c>
      <c r="E69" s="362">
        <f>D69*C69</f>
        <v>0</v>
      </c>
      <c r="F69" s="355">
        <f>IF(C69=0,0,$F$61)</f>
        <v>0</v>
      </c>
      <c r="G69" s="362">
        <f>F69*D69</f>
        <v>0</v>
      </c>
      <c r="H69" s="368">
        <f>E69-G69</f>
        <v>0</v>
      </c>
      <c r="I69" s="341">
        <f>IF(C69=0,0,$I$61)</f>
        <v>0</v>
      </c>
      <c r="J69" s="345">
        <f>H69-I69</f>
        <v>0</v>
      </c>
      <c r="K69" s="371">
        <f>C69-F69</f>
        <v>0</v>
      </c>
      <c r="L69" s="372">
        <f>D69/$D$59</f>
        <v>0</v>
      </c>
      <c r="M69" s="369">
        <f>IF(L69=0,0,H69/L69)</f>
        <v>0</v>
      </c>
      <c r="N69" s="340"/>
      <c r="O69" s="350"/>
    </row>
    <row r="70" spans="1:15" ht="13.5" customHeight="1" thickBot="1">
      <c r="A70" s="350"/>
      <c r="B70" s="352"/>
      <c r="C70" s="391"/>
      <c r="D70" s="393"/>
      <c r="E70" s="363"/>
      <c r="F70" s="364"/>
      <c r="G70" s="363"/>
      <c r="H70" s="367"/>
      <c r="I70" s="342"/>
      <c r="J70" s="344"/>
      <c r="K70" s="352"/>
      <c r="L70" s="352"/>
      <c r="M70" s="370"/>
      <c r="N70" s="349">
        <f>IF(L71=0,0,(H71-H69)/(L71-L69))</f>
        <v>0</v>
      </c>
      <c r="O70" s="349">
        <f>IF(L71-L69&lt;0,0,L71-L69)</f>
        <v>0</v>
      </c>
    </row>
    <row r="71" spans="1:15" ht="13.5" customHeight="1" thickBot="1">
      <c r="A71" s="349">
        <f>IF(C71=0,0,CONCATENATE(B71," ",$D$58))</f>
        <v>0</v>
      </c>
      <c r="B71" s="351">
        <f>B43</f>
        <v>6</v>
      </c>
      <c r="C71" s="394">
        <v>0</v>
      </c>
      <c r="D71" s="397">
        <v>0</v>
      </c>
      <c r="E71" s="362">
        <f>D71*C71</f>
        <v>0</v>
      </c>
      <c r="F71" s="355">
        <f>IF(C71=0,0,$F$61)</f>
        <v>0</v>
      </c>
      <c r="G71" s="362">
        <f>F71*D71</f>
        <v>0</v>
      </c>
      <c r="H71" s="368">
        <f>E71-G71</f>
        <v>0</v>
      </c>
      <c r="I71" s="341">
        <f>IF(C71=0,0,$I$61)</f>
        <v>0</v>
      </c>
      <c r="J71" s="345">
        <f>H71-I71</f>
        <v>0</v>
      </c>
      <c r="K71" s="371">
        <f>C71-F71</f>
        <v>0</v>
      </c>
      <c r="L71" s="372">
        <f>D71/$D$59</f>
        <v>0</v>
      </c>
      <c r="M71" s="369">
        <f>IF(L71=0,0,H71/L71)</f>
        <v>0</v>
      </c>
      <c r="N71" s="340"/>
      <c r="O71" s="350"/>
    </row>
    <row r="72" spans="1:15" ht="13.5" customHeight="1" thickBot="1">
      <c r="A72" s="350"/>
      <c r="B72" s="352"/>
      <c r="C72" s="391"/>
      <c r="D72" s="393"/>
      <c r="E72" s="363"/>
      <c r="F72" s="364"/>
      <c r="G72" s="363"/>
      <c r="H72" s="367"/>
      <c r="I72" s="342"/>
      <c r="J72" s="344"/>
      <c r="K72" s="352"/>
      <c r="L72" s="352"/>
      <c r="M72" s="370"/>
      <c r="N72" s="349">
        <f>IF(L73=0,0,(H73-H71)/(L73-L71))</f>
        <v>0</v>
      </c>
      <c r="O72" s="349">
        <f>IF(L73-L71&lt;0,0,L73-L71)</f>
        <v>0</v>
      </c>
    </row>
    <row r="73" spans="1:15" ht="13.5" customHeight="1" thickBot="1">
      <c r="A73" s="349">
        <f>IF(C73=0,0,CONCATENATE(B73," ",$D$58))</f>
        <v>0</v>
      </c>
      <c r="B73" s="351">
        <f>B45</f>
        <v>7</v>
      </c>
      <c r="C73" s="394">
        <v>0</v>
      </c>
      <c r="D73" s="397">
        <v>0</v>
      </c>
      <c r="E73" s="362">
        <f>D73*C73</f>
        <v>0</v>
      </c>
      <c r="F73" s="355">
        <f>IF(C73=0,0,$F$61)</f>
        <v>0</v>
      </c>
      <c r="G73" s="362">
        <f>F73*D73</f>
        <v>0</v>
      </c>
      <c r="H73" s="368">
        <f>E73-G73</f>
        <v>0</v>
      </c>
      <c r="I73" s="341">
        <f>IF(C73=0,0,$I$61)</f>
        <v>0</v>
      </c>
      <c r="J73" s="345">
        <f>H73-I73</f>
        <v>0</v>
      </c>
      <c r="K73" s="371">
        <f>C73-F73</f>
        <v>0</v>
      </c>
      <c r="L73" s="372">
        <f>D73/$D$59</f>
        <v>0</v>
      </c>
      <c r="M73" s="369">
        <f>IF(L73=0,0,H73/L73)</f>
        <v>0</v>
      </c>
      <c r="N73" s="340"/>
      <c r="O73" s="350"/>
    </row>
    <row r="74" spans="1:15" ht="13.5" customHeight="1" thickBot="1">
      <c r="A74" s="350"/>
      <c r="B74" s="352"/>
      <c r="C74" s="398"/>
      <c r="D74" s="399"/>
      <c r="E74" s="337"/>
      <c r="F74" s="364"/>
      <c r="G74" s="337"/>
      <c r="H74" s="339"/>
      <c r="I74" s="342"/>
      <c r="J74" s="338"/>
      <c r="K74" s="352"/>
      <c r="L74" s="352"/>
      <c r="M74" s="370"/>
      <c r="N74" s="349">
        <f>IF(L75=0,0,(H75-H73)/(L75-L73))</f>
        <v>0</v>
      </c>
      <c r="O74" s="349">
        <f>IF(L75-L73&lt;0,0,L75-L73)</f>
        <v>0</v>
      </c>
    </row>
    <row r="75" spans="1:15" ht="13.5" customHeight="1" thickBot="1">
      <c r="A75" s="349">
        <f>IF(C75=0,0,CONCATENATE(B75," ",$D$58))</f>
        <v>0</v>
      </c>
      <c r="B75" s="351">
        <f>B47</f>
        <v>8</v>
      </c>
      <c r="C75" s="394">
        <v>0</v>
      </c>
      <c r="D75" s="397">
        <v>0</v>
      </c>
      <c r="E75" s="362">
        <f>D75*C75</f>
        <v>0</v>
      </c>
      <c r="F75" s="355">
        <f>IF(C75=0,0,$F$61)</f>
        <v>0</v>
      </c>
      <c r="G75" s="362">
        <f>F75*D75</f>
        <v>0</v>
      </c>
      <c r="H75" s="368">
        <f>E75-G75</f>
        <v>0</v>
      </c>
      <c r="I75" s="341">
        <f>IF(C75=0,0,$I$61)</f>
        <v>0</v>
      </c>
      <c r="J75" s="345">
        <f>H75-I75</f>
        <v>0</v>
      </c>
      <c r="K75" s="377">
        <f>C75-F75</f>
        <v>0</v>
      </c>
      <c r="L75" s="372">
        <f>D75/$D$59</f>
        <v>0</v>
      </c>
      <c r="M75" s="369">
        <f>IF(L75=0,0,H75/L75)</f>
        <v>0</v>
      </c>
      <c r="N75" s="340"/>
      <c r="O75" s="350"/>
    </row>
    <row r="76" spans="1:14" ht="13.5" customHeight="1" thickBot="1">
      <c r="A76" s="350"/>
      <c r="B76" s="352"/>
      <c r="C76" s="398"/>
      <c r="D76" s="399"/>
      <c r="E76" s="337"/>
      <c r="F76" s="356"/>
      <c r="G76" s="337"/>
      <c r="H76" s="339"/>
      <c r="I76" s="378"/>
      <c r="J76" s="338"/>
      <c r="K76" s="352"/>
      <c r="L76" s="352"/>
      <c r="M76" s="370"/>
      <c r="N76" s="379"/>
    </row>
    <row r="77" spans="3:14" ht="12.75" hidden="1">
      <c r="C77" s="373"/>
      <c r="D77" s="374"/>
      <c r="E77" s="374"/>
      <c r="F77" s="373"/>
      <c r="G77" s="374"/>
      <c r="H77" s="374"/>
      <c r="I77" s="374"/>
      <c r="J77" s="374"/>
      <c r="K77" s="375"/>
      <c r="L77" s="379"/>
      <c r="M77" s="379"/>
      <c r="N77" s="376"/>
    </row>
    <row r="78" spans="3:14" ht="12.75" hidden="1">
      <c r="C78" s="373"/>
      <c r="D78" s="374"/>
      <c r="E78" s="374"/>
      <c r="F78" s="373"/>
      <c r="G78" s="374"/>
      <c r="H78" s="374"/>
      <c r="I78" s="374"/>
      <c r="J78" s="374"/>
      <c r="K78" s="376"/>
      <c r="L78" s="376"/>
      <c r="M78" s="379"/>
      <c r="N78" s="379"/>
    </row>
    <row r="79" spans="3:14" ht="12.75" hidden="1">
      <c r="C79" s="373"/>
      <c r="D79" s="374"/>
      <c r="E79" s="374"/>
      <c r="F79" s="373"/>
      <c r="G79" s="374"/>
      <c r="H79" s="374"/>
      <c r="I79" s="374"/>
      <c r="J79" s="374"/>
      <c r="K79" s="375"/>
      <c r="L79" s="379"/>
      <c r="M79" s="379"/>
      <c r="N79" s="376"/>
    </row>
    <row r="80" spans="3:13" ht="12.75" hidden="1">
      <c r="C80" s="373"/>
      <c r="D80" s="374"/>
      <c r="E80" s="374"/>
      <c r="F80" s="373"/>
      <c r="G80" s="374"/>
      <c r="H80" s="374"/>
      <c r="I80" s="374"/>
      <c r="J80" s="374"/>
      <c r="K80" s="376"/>
      <c r="L80" s="376"/>
      <c r="M80" s="379"/>
    </row>
    <row r="81" spans="3:10" ht="21">
      <c r="C81" t="s">
        <v>9</v>
      </c>
      <c r="D81" s="1">
        <f>MAX(J61:J80)</f>
        <v>10230000</v>
      </c>
      <c r="E81" t="s">
        <v>8</v>
      </c>
      <c r="F81" s="13"/>
      <c r="G81" s="12"/>
      <c r="H81" s="13"/>
      <c r="I81" s="13"/>
      <c r="J81" s="14"/>
    </row>
    <row r="82" spans="3:10" ht="21">
      <c r="C82" s="11" t="s">
        <v>14</v>
      </c>
      <c r="D82" s="12">
        <f>IF(D81=J61,C61,IF(D81=J63,C63,IF(D81=J65,C65,IF(D81=J67,C67,IF(D81=J69,C69,IF(D81=J71,C71,IF(D81=J73,C73,IF(D81=J75,C75,"ingen"))))))))</f>
        <v>5</v>
      </c>
      <c r="E82" s="12"/>
      <c r="F82" s="13"/>
      <c r="G82" s="12"/>
      <c r="H82" s="13"/>
      <c r="I82" s="13"/>
      <c r="J82" s="14"/>
    </row>
    <row r="83" spans="3:10" ht="21">
      <c r="C83" s="11" t="s">
        <v>15</v>
      </c>
      <c r="D83" s="12">
        <f>IF(D81=J61,D61,IF(D81=J63,D63,IF(D81=J65,D65,IF(D81=J67,D67,IF(D81=J69,D69,IF(D81=J71,D71,IF(D81=J73,D73,IF(D81=J75,D75,"ingen"))))))))</f>
        <v>3720000</v>
      </c>
      <c r="E83" s="12"/>
      <c r="F83" s="13"/>
      <c r="G83" s="12"/>
      <c r="H83" s="13"/>
      <c r="I83" s="13"/>
      <c r="J83" s="14"/>
    </row>
    <row r="84" spans="6:10" ht="21">
      <c r="F84" s="13"/>
      <c r="G84" s="12"/>
      <c r="H84" s="13"/>
      <c r="I84" s="13"/>
      <c r="J84" s="14"/>
    </row>
    <row r="85" spans="3:14" ht="18">
      <c r="C85" s="347" t="s">
        <v>17</v>
      </c>
      <c r="D85" s="347"/>
      <c r="E85" s="347"/>
      <c r="F85" s="347"/>
      <c r="G85" s="347"/>
      <c r="H85" s="347"/>
      <c r="I85" s="43"/>
      <c r="J85" s="43"/>
      <c r="K85" s="43"/>
      <c r="L85" s="43"/>
      <c r="M85" s="43"/>
      <c r="N85" s="43"/>
    </row>
    <row r="86" spans="3:14" ht="21">
      <c r="C86" s="11" t="s">
        <v>18</v>
      </c>
      <c r="D86" s="18">
        <v>2000000</v>
      </c>
      <c r="E86" s="12" t="s">
        <v>53</v>
      </c>
      <c r="F86" s="19"/>
      <c r="G86" s="19"/>
      <c r="H86" s="19"/>
      <c r="I86" s="43"/>
      <c r="J86" s="43"/>
      <c r="K86" s="43"/>
      <c r="L86" s="43"/>
      <c r="M86" s="43"/>
      <c r="N86" s="19"/>
    </row>
    <row r="87" spans="3:14" ht="54">
      <c r="C87" s="19" t="s">
        <v>32</v>
      </c>
      <c r="D87" s="19" t="s">
        <v>33</v>
      </c>
      <c r="E87" s="19" t="s">
        <v>31</v>
      </c>
      <c r="F87" s="39" t="s">
        <v>36</v>
      </c>
      <c r="G87" s="39" t="s">
        <v>37</v>
      </c>
      <c r="H87" s="19" t="s">
        <v>38</v>
      </c>
      <c r="I87" s="43"/>
      <c r="J87" s="43"/>
      <c r="K87" s="43"/>
      <c r="L87" s="43"/>
      <c r="M87" s="43"/>
      <c r="N87" s="19"/>
    </row>
    <row r="88" spans="3:13" ht="12.75" customHeight="1">
      <c r="C88" s="348" t="s">
        <v>19</v>
      </c>
      <c r="D88" s="400">
        <f>løsningstabel!F2</f>
        <v>22</v>
      </c>
      <c r="E88" s="348" t="str">
        <f>løsningstabel!G2</f>
        <v>1 Ekstra</v>
      </c>
      <c r="F88" s="348">
        <f>løsningstabel!H2</f>
        <v>150000</v>
      </c>
      <c r="G88" s="348">
        <f>F88</f>
        <v>150000</v>
      </c>
      <c r="H88" s="348" t="str">
        <f>IF(G88&lt;=$D$86,"Ja","Nej")</f>
        <v>Ja</v>
      </c>
      <c r="I88" s="43"/>
      <c r="J88" s="43"/>
      <c r="K88" s="43"/>
      <c r="L88" s="43"/>
      <c r="M88" s="43"/>
    </row>
    <row r="89" spans="3:13" ht="12.75" customHeight="1">
      <c r="C89" s="348"/>
      <c r="D89" s="400"/>
      <c r="E89" s="348"/>
      <c r="F89" s="348"/>
      <c r="G89" s="348"/>
      <c r="H89" s="348"/>
      <c r="I89" s="43"/>
      <c r="J89" s="43"/>
      <c r="K89" s="43"/>
      <c r="L89" s="43"/>
      <c r="M89" s="43"/>
    </row>
    <row r="90" spans="3:13" ht="12.75" customHeight="1">
      <c r="C90" s="348" t="s">
        <v>20</v>
      </c>
      <c r="D90" s="400">
        <f>løsningstabel!F3</f>
        <v>18</v>
      </c>
      <c r="E90" s="348" t="str">
        <f>løsningstabel!G3</f>
        <v>1 Top</v>
      </c>
      <c r="F90" s="348">
        <f>løsningstabel!H3</f>
        <v>750000</v>
      </c>
      <c r="G90" s="348">
        <f>G88+F90</f>
        <v>900000</v>
      </c>
      <c r="H90" s="348" t="str">
        <f>IF(G90&lt;=$D$86,"Ja","Nej")</f>
        <v>Ja</v>
      </c>
      <c r="I90" s="43"/>
      <c r="J90" s="43"/>
      <c r="K90" s="43"/>
      <c r="L90" s="43"/>
      <c r="M90" s="43"/>
    </row>
    <row r="91" spans="3:13" ht="12.75" customHeight="1">
      <c r="C91" s="348"/>
      <c r="D91" s="400"/>
      <c r="E91" s="348"/>
      <c r="F91" s="348"/>
      <c r="G91" s="348"/>
      <c r="H91" s="348"/>
      <c r="I91" s="43"/>
      <c r="J91" s="43"/>
      <c r="K91" s="43"/>
      <c r="L91" s="43"/>
      <c r="M91" s="43"/>
    </row>
    <row r="92" spans="3:13" ht="12.75" customHeight="1">
      <c r="C92" s="348" t="s">
        <v>21</v>
      </c>
      <c r="D92" s="400">
        <f>løsningstabel!F4</f>
        <v>13.5</v>
      </c>
      <c r="E92" s="348" t="str">
        <f>løsningstabel!G4</f>
        <v>2 Ekstra</v>
      </c>
      <c r="F92" s="348">
        <f>løsningstabel!H4</f>
        <v>20000</v>
      </c>
      <c r="G92" s="348">
        <f>G90+F92</f>
        <v>920000</v>
      </c>
      <c r="H92" s="348" t="str">
        <f>IF(G92&lt;=$D$86,"Ja","Nej")</f>
        <v>Ja</v>
      </c>
      <c r="I92" s="43"/>
      <c r="J92" s="43"/>
      <c r="K92" s="43"/>
      <c r="L92" s="43"/>
      <c r="M92" s="43"/>
    </row>
    <row r="93" spans="3:13" ht="12.75" customHeight="1">
      <c r="C93" s="348"/>
      <c r="D93" s="400"/>
      <c r="E93" s="348"/>
      <c r="F93" s="348"/>
      <c r="G93" s="348"/>
      <c r="H93" s="348"/>
      <c r="I93" s="43"/>
      <c r="J93" s="43"/>
      <c r="K93" s="43"/>
      <c r="L93" s="43"/>
      <c r="M93" s="43"/>
    </row>
    <row r="94" spans="3:13" ht="12.75" customHeight="1">
      <c r="C94" s="348" t="s">
        <v>22</v>
      </c>
      <c r="D94" s="400">
        <f>løsningstabel!F5</f>
        <v>13.2</v>
      </c>
      <c r="E94" s="348" t="str">
        <f>løsningstabel!G5</f>
        <v>3 Ekstra</v>
      </c>
      <c r="F94" s="348">
        <f>løsningstabel!H5</f>
        <v>25000</v>
      </c>
      <c r="G94" s="348">
        <f>G92+F94</f>
        <v>945000</v>
      </c>
      <c r="H94" s="348" t="str">
        <f>IF(G94&lt;=$D$86,"Ja","Nej")</f>
        <v>Ja</v>
      </c>
      <c r="I94" s="43"/>
      <c r="J94" s="43"/>
      <c r="K94" s="43"/>
      <c r="L94" s="43"/>
      <c r="M94" s="43"/>
    </row>
    <row r="95" spans="3:13" ht="12.75" customHeight="1">
      <c r="C95" s="348"/>
      <c r="D95" s="400"/>
      <c r="E95" s="348"/>
      <c r="F95" s="348"/>
      <c r="G95" s="348"/>
      <c r="H95" s="348"/>
      <c r="I95" s="43"/>
      <c r="J95" s="43"/>
      <c r="K95" s="43"/>
      <c r="L95" s="43"/>
      <c r="M95" s="43"/>
    </row>
    <row r="96" spans="3:13" ht="12.75" customHeight="1">
      <c r="C96" s="348" t="s">
        <v>23</v>
      </c>
      <c r="D96" s="400">
        <f>løsningstabel!F6</f>
        <v>11</v>
      </c>
      <c r="E96" s="348" t="str">
        <f>løsningstabel!G6</f>
        <v>2 Top</v>
      </c>
      <c r="F96" s="348">
        <f>løsningstabel!H6</f>
        <v>125000</v>
      </c>
      <c r="G96" s="348">
        <f>G94+F96</f>
        <v>1070000</v>
      </c>
      <c r="H96" s="348" t="str">
        <f>IF(G96&lt;=$D$86,"Ja","Nej")</f>
        <v>Ja</v>
      </c>
      <c r="I96" s="43"/>
      <c r="J96" s="43"/>
      <c r="K96" s="43"/>
      <c r="L96" s="43"/>
      <c r="M96" s="43"/>
    </row>
    <row r="97" spans="3:13" ht="12.75" customHeight="1">
      <c r="C97" s="348"/>
      <c r="D97" s="400"/>
      <c r="E97" s="348"/>
      <c r="F97" s="348"/>
      <c r="G97" s="348"/>
      <c r="H97" s="348"/>
      <c r="I97" s="43"/>
      <c r="J97" s="43"/>
      <c r="K97" s="43"/>
      <c r="L97" s="43"/>
      <c r="M97" s="43"/>
    </row>
    <row r="98" spans="3:13" ht="12.75" customHeight="1">
      <c r="C98" s="348" t="s">
        <v>24</v>
      </c>
      <c r="D98" s="400">
        <f>løsningstabel!F7</f>
        <v>11</v>
      </c>
      <c r="E98" s="348" t="str">
        <f>løsningstabel!G7</f>
        <v>1 Top export</v>
      </c>
      <c r="F98" s="348">
        <f>løsningstabel!H7</f>
        <v>930000</v>
      </c>
      <c r="G98" s="348">
        <f>G96+F98</f>
        <v>2000000</v>
      </c>
      <c r="H98" s="348" t="str">
        <f>IF(G98&lt;=$D$86,"Ja","Nej")</f>
        <v>Ja</v>
      </c>
      <c r="I98" s="43"/>
      <c r="J98" s="43"/>
      <c r="K98" s="43"/>
      <c r="L98" s="43"/>
      <c r="M98" s="43"/>
    </row>
    <row r="99" spans="3:13" ht="12.75" customHeight="1">
      <c r="C99" s="348"/>
      <c r="D99" s="400"/>
      <c r="E99" s="348"/>
      <c r="F99" s="348"/>
      <c r="G99" s="348"/>
      <c r="H99" s="348"/>
      <c r="I99" s="43"/>
      <c r="J99" s="43"/>
      <c r="K99" s="43"/>
      <c r="L99" s="43"/>
      <c r="M99" s="43"/>
    </row>
    <row r="100" spans="3:13" ht="12.75" customHeight="1">
      <c r="C100" s="348" t="s">
        <v>25</v>
      </c>
      <c r="D100" s="400">
        <f>løsningstabel!F8</f>
        <v>9</v>
      </c>
      <c r="E100" s="348" t="str">
        <f>løsningstabel!G8</f>
        <v>3 Top</v>
      </c>
      <c r="F100" s="348">
        <f>løsningstabel!H8</f>
        <v>125000</v>
      </c>
      <c r="G100" s="348">
        <f>G98+F100</f>
        <v>2125000</v>
      </c>
      <c r="H100" s="348" t="str">
        <f>IF(G100&lt;=$D$86,"Ja","Nej")</f>
        <v>Nej</v>
      </c>
      <c r="I100" s="43"/>
      <c r="J100" s="43"/>
      <c r="K100" s="43"/>
      <c r="L100" s="43"/>
      <c r="M100" s="43"/>
    </row>
    <row r="101" spans="3:13" ht="12.75" customHeight="1">
      <c r="C101" s="348"/>
      <c r="D101" s="400"/>
      <c r="E101" s="348"/>
      <c r="F101" s="348"/>
      <c r="G101" s="348"/>
      <c r="H101" s="348"/>
      <c r="I101" s="43"/>
      <c r="J101" s="43"/>
      <c r="K101" s="43"/>
      <c r="L101" s="43"/>
      <c r="M101" s="43"/>
    </row>
    <row r="102" spans="3:13" ht="12.75" customHeight="1">
      <c r="C102" s="348" t="s">
        <v>26</v>
      </c>
      <c r="D102" s="400">
        <f>løsningstabel!F9</f>
        <v>7</v>
      </c>
      <c r="E102" s="348" t="str">
        <f>løsningstabel!G9</f>
        <v>4 Top</v>
      </c>
      <c r="F102" s="348">
        <f>løsningstabel!H9</f>
        <v>125000</v>
      </c>
      <c r="G102" s="348">
        <f>G100+F102</f>
        <v>2250000</v>
      </c>
      <c r="H102" s="348" t="str">
        <f>IF(G102&lt;=$D$86,"Ja","Nej")</f>
        <v>Nej</v>
      </c>
      <c r="I102" s="43"/>
      <c r="J102" s="43"/>
      <c r="K102" s="43"/>
      <c r="L102" s="43"/>
      <c r="M102" s="43"/>
    </row>
    <row r="103" spans="3:13" ht="12.75" customHeight="1">
      <c r="C103" s="348"/>
      <c r="D103" s="400"/>
      <c r="E103" s="348"/>
      <c r="F103" s="348"/>
      <c r="G103" s="348"/>
      <c r="H103" s="348"/>
      <c r="I103" s="43"/>
      <c r="J103" s="43"/>
      <c r="K103" s="43"/>
      <c r="L103" s="43"/>
      <c r="M103" s="43"/>
    </row>
    <row r="104" spans="3:13" ht="12.75" customHeight="1" hidden="1">
      <c r="C104" s="348" t="s">
        <v>27</v>
      </c>
      <c r="D104" s="400">
        <f>løsningstabel!F10</f>
        <v>6.142857142857143</v>
      </c>
      <c r="E104" s="348">
        <f>løsningstabel!G10</f>
        <v>0</v>
      </c>
      <c r="F104" s="348" t="str">
        <f>løsningstabel!H10</f>
        <v>-</v>
      </c>
      <c r="G104" s="348" t="e">
        <f>G102+F104</f>
        <v>#VALUE!</v>
      </c>
      <c r="H104" s="348" t="e">
        <f>IF(G104&lt;=$D$86,"Ja","Nej")</f>
        <v>#VALUE!</v>
      </c>
      <c r="I104" s="43"/>
      <c r="J104" s="43"/>
      <c r="K104" s="43"/>
      <c r="L104" s="43"/>
      <c r="M104" s="43"/>
    </row>
    <row r="105" spans="3:13" ht="12.75" customHeight="1" hidden="1">
      <c r="C105" s="348"/>
      <c r="D105" s="400"/>
      <c r="E105" s="348"/>
      <c r="F105" s="348"/>
      <c r="G105" s="348"/>
      <c r="H105" s="348"/>
      <c r="I105" s="43"/>
      <c r="J105" s="43"/>
      <c r="K105" s="43"/>
      <c r="L105" s="43"/>
      <c r="M105" s="43"/>
    </row>
    <row r="106" spans="3:13" ht="12.75" customHeight="1" hidden="1">
      <c r="C106" s="348" t="s">
        <v>28</v>
      </c>
      <c r="D106" s="400">
        <f>løsningstabel!F11</f>
        <v>3.4</v>
      </c>
      <c r="E106" s="348" t="str">
        <f>løsningstabel!G11</f>
        <v>4 Ekstra</v>
      </c>
      <c r="F106" s="348">
        <f>løsningstabel!H11</f>
        <v>12500</v>
      </c>
      <c r="G106" s="348" t="e">
        <f>G104+F106</f>
        <v>#VALUE!</v>
      </c>
      <c r="H106" s="348" t="e">
        <f>IF(G106&lt;=$D$86,"Ja","Nej")</f>
        <v>#VALUE!</v>
      </c>
      <c r="I106" s="43"/>
      <c r="J106" s="43"/>
      <c r="K106" s="43"/>
      <c r="L106" s="43"/>
      <c r="M106" s="43"/>
    </row>
    <row r="107" spans="3:13" ht="12.75" customHeight="1" hidden="1">
      <c r="C107" s="348"/>
      <c r="D107" s="400"/>
      <c r="E107" s="348"/>
      <c r="F107" s="348"/>
      <c r="G107" s="348"/>
      <c r="H107" s="348"/>
      <c r="I107" s="43"/>
      <c r="J107" s="43"/>
      <c r="K107" s="43"/>
      <c r="L107" s="43"/>
      <c r="M107" s="43"/>
    </row>
    <row r="108" spans="3:13" ht="12.75" customHeight="1" hidden="1">
      <c r="C108" s="348" t="s">
        <v>29</v>
      </c>
      <c r="D108" s="400">
        <f>løsningstabel!F12</f>
        <v>0</v>
      </c>
      <c r="E108" s="348" t="str">
        <f>løsningstabel!G12</f>
        <v>4 Top export</v>
      </c>
      <c r="F108" s="348" t="str">
        <f>løsningstabel!H12</f>
        <v>-</v>
      </c>
      <c r="G108" s="348" t="e">
        <f>G106+F108</f>
        <v>#VALUE!</v>
      </c>
      <c r="H108" s="348" t="e">
        <f>IF(G108&lt;=$D$86,"Ja","Nej")</f>
        <v>#VALUE!</v>
      </c>
      <c r="I108" s="43"/>
      <c r="J108" s="43"/>
      <c r="K108" s="43"/>
      <c r="L108" s="43"/>
      <c r="M108" s="43"/>
    </row>
    <row r="109" spans="3:13" ht="12.75" customHeight="1" hidden="1">
      <c r="C109" s="348"/>
      <c r="D109" s="400"/>
      <c r="E109" s="348"/>
      <c r="F109" s="348"/>
      <c r="G109" s="348"/>
      <c r="H109" s="348"/>
      <c r="I109" s="43"/>
      <c r="J109" s="43"/>
      <c r="K109" s="43"/>
      <c r="L109" s="43"/>
      <c r="M109" s="43"/>
    </row>
    <row r="110" spans="3:13" ht="12.75" customHeight="1" hidden="1">
      <c r="C110" s="348" t="s">
        <v>30</v>
      </c>
      <c r="D110" s="400">
        <f>løsningstabel!F13</f>
        <v>0</v>
      </c>
      <c r="E110" s="348" t="str">
        <f>løsningstabel!G13</f>
        <v>4 Top export</v>
      </c>
      <c r="F110" s="348" t="str">
        <f>løsningstabel!H13</f>
        <v>-</v>
      </c>
      <c r="G110" s="348" t="e">
        <f>G108+F110</f>
        <v>#VALUE!</v>
      </c>
      <c r="H110" s="348" t="e">
        <f>IF(G110&lt;=$D$86,"Ja","Nej")</f>
        <v>#VALUE!</v>
      </c>
      <c r="I110" s="43"/>
      <c r="J110" s="43"/>
      <c r="K110" s="43"/>
      <c r="L110" s="43"/>
      <c r="M110" s="43"/>
    </row>
    <row r="111" spans="3:13" ht="12.75" customHeight="1" hidden="1">
      <c r="C111" s="348"/>
      <c r="D111" s="400"/>
      <c r="E111" s="348"/>
      <c r="F111" s="348"/>
      <c r="G111" s="348"/>
      <c r="H111" s="348"/>
      <c r="I111" s="43"/>
      <c r="J111" s="43"/>
      <c r="K111" s="43"/>
      <c r="L111" s="43"/>
      <c r="M111" s="43"/>
    </row>
    <row r="112" spans="3:13" ht="12.75" customHeight="1">
      <c r="C112" s="20"/>
      <c r="D112" s="44"/>
      <c r="E112" s="20"/>
      <c r="F112" s="20"/>
      <c r="G112" s="20"/>
      <c r="H112" s="20"/>
      <c r="I112" s="43"/>
      <c r="J112" s="43"/>
      <c r="K112" s="43"/>
      <c r="L112" s="43"/>
      <c r="M112" s="43"/>
    </row>
    <row r="113" spans="1:13" ht="18">
      <c r="A113" s="347" t="s">
        <v>40</v>
      </c>
      <c r="B113" s="347"/>
      <c r="C113" s="347"/>
      <c r="D113" s="347"/>
      <c r="E113" s="347"/>
      <c r="F113" s="347"/>
      <c r="G113" s="347"/>
      <c r="H113" s="347"/>
      <c r="I113" s="43"/>
      <c r="J113" s="43"/>
      <c r="K113" s="43"/>
      <c r="L113" s="43"/>
      <c r="M113" s="43"/>
    </row>
    <row r="114" spans="1:13" ht="12.75" customHeight="1">
      <c r="A114" s="348" t="s">
        <v>44</v>
      </c>
      <c r="B114" s="348"/>
      <c r="C114" s="20" t="s">
        <v>0</v>
      </c>
      <c r="D114" s="20" t="s">
        <v>1</v>
      </c>
      <c r="E114" s="20" t="s">
        <v>2</v>
      </c>
      <c r="F114" s="20" t="s">
        <v>7</v>
      </c>
      <c r="G114" s="20" t="s">
        <v>3</v>
      </c>
      <c r="H114" s="20" t="s">
        <v>4</v>
      </c>
      <c r="I114" s="55" t="s">
        <v>45</v>
      </c>
      <c r="J114" s="55" t="s">
        <v>6</v>
      </c>
      <c r="K114" s="55" t="str">
        <f>K4</f>
        <v>DB pr stk.</v>
      </c>
      <c r="L114" s="55" t="str">
        <f>L4</f>
        <v>Antal liter</v>
      </c>
      <c r="M114" s="55" t="str">
        <f>M4</f>
        <v>DB pr liter</v>
      </c>
    </row>
    <row r="115" spans="1:13" ht="12.75" customHeight="1">
      <c r="A115" s="348" t="str">
        <f>D2</f>
        <v>Top</v>
      </c>
      <c r="B115" s="348"/>
      <c r="C115" s="62">
        <f>C7</f>
        <v>6.25</v>
      </c>
      <c r="D115" s="62">
        <f aca="true" t="shared" si="0" ref="D115:M115">D7</f>
        <v>3500000</v>
      </c>
      <c r="E115" s="62">
        <f t="shared" si="0"/>
        <v>21875000</v>
      </c>
      <c r="F115" s="62">
        <f t="shared" si="0"/>
        <v>2</v>
      </c>
      <c r="G115" s="62">
        <f t="shared" si="0"/>
        <v>7000000</v>
      </c>
      <c r="H115" s="62">
        <f t="shared" si="0"/>
        <v>14875000</v>
      </c>
      <c r="I115" s="62">
        <f t="shared" si="0"/>
        <v>0</v>
      </c>
      <c r="J115" s="62">
        <f t="shared" si="0"/>
        <v>14875000</v>
      </c>
      <c r="K115" s="62">
        <f t="shared" si="0"/>
        <v>4.25</v>
      </c>
      <c r="L115" s="62">
        <f t="shared" si="0"/>
        <v>875000</v>
      </c>
      <c r="M115" s="62">
        <f t="shared" si="0"/>
        <v>17</v>
      </c>
    </row>
    <row r="116" spans="1:13" ht="12.75" customHeight="1">
      <c r="A116" s="348" t="str">
        <f>D30</f>
        <v>Ekstra</v>
      </c>
      <c r="B116" s="348"/>
      <c r="C116" s="62">
        <f>C37</f>
        <v>7.5</v>
      </c>
      <c r="D116" s="62">
        <f aca="true" t="shared" si="1" ref="D116:M116">D37</f>
        <v>780000</v>
      </c>
      <c r="E116" s="62">
        <f t="shared" si="1"/>
        <v>5850000</v>
      </c>
      <c r="F116" s="62">
        <f t="shared" si="1"/>
        <v>2.5</v>
      </c>
      <c r="G116" s="62">
        <f t="shared" si="1"/>
        <v>1950000</v>
      </c>
      <c r="H116" s="62">
        <f t="shared" si="1"/>
        <v>3900000</v>
      </c>
      <c r="I116" s="62">
        <f t="shared" si="1"/>
        <v>0</v>
      </c>
      <c r="J116" s="62">
        <f t="shared" si="1"/>
        <v>3900000</v>
      </c>
      <c r="K116" s="62">
        <f t="shared" si="1"/>
        <v>5</v>
      </c>
      <c r="L116" s="62">
        <f t="shared" si="1"/>
        <v>195000</v>
      </c>
      <c r="M116" s="62">
        <f t="shared" si="1"/>
        <v>20</v>
      </c>
    </row>
    <row r="117" spans="1:13" ht="12.75" customHeight="1">
      <c r="A117" s="348" t="str">
        <f>D58</f>
        <v>Top export</v>
      </c>
      <c r="B117" s="348"/>
      <c r="C117" s="62">
        <f>C61</f>
        <v>5</v>
      </c>
      <c r="D117" s="62">
        <f aca="true" t="shared" si="2" ref="D117:L117">D61</f>
        <v>3720000</v>
      </c>
      <c r="E117" s="62">
        <f t="shared" si="2"/>
        <v>18600000</v>
      </c>
      <c r="F117" s="62">
        <f t="shared" si="2"/>
        <v>2.25</v>
      </c>
      <c r="G117" s="62">
        <f t="shared" si="2"/>
        <v>8370000</v>
      </c>
      <c r="H117" s="62">
        <f t="shared" si="2"/>
        <v>10230000</v>
      </c>
      <c r="I117" s="62">
        <f t="shared" si="2"/>
        <v>0</v>
      </c>
      <c r="J117" s="62">
        <f t="shared" si="2"/>
        <v>10230000</v>
      </c>
      <c r="K117" s="62">
        <f t="shared" si="2"/>
        <v>2.75</v>
      </c>
      <c r="L117" s="62">
        <f t="shared" si="2"/>
        <v>930000</v>
      </c>
      <c r="M117" s="62">
        <f>M61</f>
        <v>11</v>
      </c>
    </row>
    <row r="118" spans="1:13" ht="12.75" customHeight="1" thickBot="1">
      <c r="A118" t="s">
        <v>46</v>
      </c>
      <c r="C118" s="56"/>
      <c r="D118" s="56"/>
      <c r="E118" s="56"/>
      <c r="F118" s="56"/>
      <c r="G118" s="56">
        <f>SUM(G115:G117)</f>
        <v>17320000</v>
      </c>
      <c r="H118" s="87">
        <f>SUM(H115:H117)</f>
        <v>29005000</v>
      </c>
      <c r="I118" s="56">
        <f>SUM(I115:I117)</f>
        <v>0</v>
      </c>
      <c r="J118" s="56">
        <f>SUM(J115:J117)</f>
        <v>29005000</v>
      </c>
      <c r="K118" s="43"/>
      <c r="L118" s="63">
        <f>SUM(L115:L117)</f>
        <v>2000000</v>
      </c>
      <c r="M118" s="43"/>
    </row>
    <row r="119" spans="3:13" ht="12.75" customHeight="1" thickTop="1">
      <c r="C119" s="20"/>
      <c r="D119" s="20"/>
      <c r="E119" s="20"/>
      <c r="F119" s="20"/>
      <c r="G119" s="20"/>
      <c r="H119" s="20"/>
      <c r="I119" s="43"/>
      <c r="J119" s="43"/>
      <c r="K119" s="43"/>
      <c r="L119" s="43"/>
      <c r="M119" s="43"/>
    </row>
    <row r="120" spans="1:13" ht="12.75" customHeight="1">
      <c r="A120" t="s">
        <v>56</v>
      </c>
      <c r="C120" s="20"/>
      <c r="D120" s="20"/>
      <c r="E120" s="20"/>
      <c r="F120" s="20"/>
      <c r="G120" s="20"/>
      <c r="H120" s="20"/>
      <c r="I120" s="43"/>
      <c r="J120" s="43"/>
      <c r="K120" s="43"/>
      <c r="L120" s="43"/>
      <c r="M120" s="43"/>
    </row>
    <row r="121" spans="1:13" ht="12.75" customHeight="1">
      <c r="A121" t="s">
        <v>57</v>
      </c>
      <c r="C121" s="20"/>
      <c r="D121" s="20"/>
      <c r="E121" s="81">
        <v>2</v>
      </c>
      <c r="F121" s="20" t="s">
        <v>58</v>
      </c>
      <c r="G121" s="20"/>
      <c r="H121" s="20"/>
      <c r="I121" s="43"/>
      <c r="J121" s="43"/>
      <c r="K121" s="43"/>
      <c r="L121" s="43"/>
      <c r="M121" s="43"/>
    </row>
    <row r="122" spans="1:13" ht="12.75" customHeight="1">
      <c r="A122" t="s">
        <v>59</v>
      </c>
      <c r="C122" s="20"/>
      <c r="D122" s="20"/>
      <c r="E122" s="81">
        <v>3</v>
      </c>
      <c r="F122" s="20" t="s">
        <v>58</v>
      </c>
      <c r="G122" s="20"/>
      <c r="H122" s="20"/>
      <c r="I122" s="43"/>
      <c r="J122" s="43"/>
      <c r="K122" s="43"/>
      <c r="L122" s="43"/>
      <c r="M122" s="43"/>
    </row>
    <row r="123" spans="1:13" ht="12.75" customHeight="1">
      <c r="A123" s="80" t="s">
        <v>60</v>
      </c>
      <c r="C123" s="20"/>
      <c r="D123" s="20"/>
      <c r="E123" s="81">
        <v>0.6</v>
      </c>
      <c r="F123" s="20" t="s">
        <v>58</v>
      </c>
      <c r="G123" s="20"/>
      <c r="H123" s="20"/>
      <c r="I123" s="43"/>
      <c r="J123" s="43"/>
      <c r="K123" s="43"/>
      <c r="L123" s="43"/>
      <c r="M123" s="43"/>
    </row>
    <row r="124" spans="1:13" ht="12.75" customHeight="1">
      <c r="A124" t="s">
        <v>65</v>
      </c>
      <c r="C124" s="20"/>
      <c r="D124" s="20"/>
      <c r="E124" s="81">
        <f>E122+E123</f>
        <v>3.6</v>
      </c>
      <c r="F124" s="20" t="s">
        <v>58</v>
      </c>
      <c r="G124" s="20"/>
      <c r="H124" s="20"/>
      <c r="I124" s="43"/>
      <c r="J124" s="43"/>
      <c r="K124" s="43"/>
      <c r="L124" s="43"/>
      <c r="M124" s="43"/>
    </row>
    <row r="125" spans="1:13" ht="12.75" customHeight="1">
      <c r="A125" t="s">
        <v>61</v>
      </c>
      <c r="C125" s="20"/>
      <c r="D125" s="20"/>
      <c r="E125" s="81">
        <f>E124-E121</f>
        <v>1.6</v>
      </c>
      <c r="F125" s="20" t="s">
        <v>62</v>
      </c>
      <c r="G125" s="20"/>
      <c r="H125" s="20"/>
      <c r="I125" s="43"/>
      <c r="J125" s="43"/>
      <c r="K125" s="43"/>
      <c r="L125" s="43"/>
      <c r="M125" s="43"/>
    </row>
    <row r="126" spans="1:13" ht="12.75" customHeight="1">
      <c r="A126" t="s">
        <v>63</v>
      </c>
      <c r="C126" s="20"/>
      <c r="D126" s="44"/>
      <c r="E126" s="81">
        <f>E125*4</f>
        <v>6.4</v>
      </c>
      <c r="F126" s="20" t="s">
        <v>64</v>
      </c>
      <c r="G126" s="20"/>
      <c r="H126" s="20"/>
      <c r="I126" s="43"/>
      <c r="J126" s="43"/>
      <c r="K126" s="43"/>
      <c r="L126" s="43"/>
      <c r="M126" s="43"/>
    </row>
    <row r="127" spans="3:13" ht="12.75" customHeight="1">
      <c r="C127" s="20"/>
      <c r="I127" s="43"/>
      <c r="J127" s="43"/>
      <c r="K127" s="43"/>
      <c r="L127" s="43"/>
      <c r="M127" s="43"/>
    </row>
    <row r="128" spans="1:13" ht="12.75" customHeight="1">
      <c r="A128" t="s">
        <v>66</v>
      </c>
      <c r="C128" s="20"/>
      <c r="I128" s="43"/>
      <c r="J128" s="43"/>
      <c r="K128" s="43"/>
      <c r="L128" s="43"/>
      <c r="M128" s="43"/>
    </row>
    <row r="129" spans="1:13" ht="12.75" customHeight="1">
      <c r="A129" t="str">
        <f>A114</f>
        <v>Produkt:</v>
      </c>
      <c r="C129" s="20" t="str">
        <f>C114</f>
        <v>Pris</v>
      </c>
      <c r="D129" s="20" t="str">
        <f aca="true" t="shared" si="3" ref="D129:M129">D114</f>
        <v>Afsætning</v>
      </c>
      <c r="E129" s="20" t="str">
        <f t="shared" si="3"/>
        <v>Omsætning</v>
      </c>
      <c r="F129" s="20" t="str">
        <f t="shared" si="3"/>
        <v>VE</v>
      </c>
      <c r="G129" s="20" t="str">
        <f t="shared" si="3"/>
        <v>VO</v>
      </c>
      <c r="H129" s="20" t="str">
        <f t="shared" si="3"/>
        <v>DB</v>
      </c>
      <c r="I129" s="20" t="str">
        <f t="shared" si="3"/>
        <v>FO</v>
      </c>
      <c r="J129" s="20" t="str">
        <f t="shared" si="3"/>
        <v>Overskud</v>
      </c>
      <c r="K129" s="20" t="str">
        <f t="shared" si="3"/>
        <v>DB pr stk.</v>
      </c>
      <c r="L129" s="20" t="str">
        <f t="shared" si="3"/>
        <v>Antal liter</v>
      </c>
      <c r="M129" s="20" t="str">
        <f t="shared" si="3"/>
        <v>DB pr liter</v>
      </c>
    </row>
    <row r="130" spans="1:13" ht="12.75" customHeight="1">
      <c r="A130" t="s">
        <v>67</v>
      </c>
      <c r="B130">
        <v>4</v>
      </c>
      <c r="C130" s="82">
        <f>C11</f>
        <v>5.75</v>
      </c>
      <c r="D130" s="83">
        <f aca="true" t="shared" si="4" ref="D130:M130">D11</f>
        <v>4500000</v>
      </c>
      <c r="E130" s="82">
        <f t="shared" si="4"/>
        <v>25875000</v>
      </c>
      <c r="F130" s="82">
        <f t="shared" si="4"/>
        <v>2</v>
      </c>
      <c r="G130" s="82">
        <f t="shared" si="4"/>
        <v>9000000</v>
      </c>
      <c r="H130" s="82">
        <f t="shared" si="4"/>
        <v>16875000</v>
      </c>
      <c r="I130" s="82">
        <f t="shared" si="4"/>
        <v>0</v>
      </c>
      <c r="J130" s="82">
        <f t="shared" si="4"/>
        <v>16875000</v>
      </c>
      <c r="K130" s="82">
        <f t="shared" si="4"/>
        <v>3.75</v>
      </c>
      <c r="L130" s="56">
        <f t="shared" si="4"/>
        <v>1125000</v>
      </c>
      <c r="M130" s="82">
        <f t="shared" si="4"/>
        <v>15</v>
      </c>
    </row>
    <row r="131" spans="1:13" ht="12.75" customHeight="1">
      <c r="A131" t="s">
        <v>68</v>
      </c>
      <c r="C131" s="82">
        <f>C61</f>
        <v>5</v>
      </c>
      <c r="D131" s="56">
        <v>4000000</v>
      </c>
      <c r="E131" s="82">
        <f>D131*C131</f>
        <v>20000000</v>
      </c>
      <c r="F131" s="82">
        <f>F61</f>
        <v>2.25</v>
      </c>
      <c r="G131" s="82">
        <f>F131*D131</f>
        <v>9000000</v>
      </c>
      <c r="H131" s="82">
        <f>E131-G131</f>
        <v>11000000</v>
      </c>
      <c r="I131" s="82">
        <f>I61</f>
        <v>0</v>
      </c>
      <c r="J131" s="82">
        <f>H131</f>
        <v>11000000</v>
      </c>
      <c r="K131" s="82">
        <f>K61</f>
        <v>2.75</v>
      </c>
      <c r="L131" s="56">
        <f>D131/4</f>
        <v>1000000</v>
      </c>
      <c r="M131" s="82">
        <f>M61</f>
        <v>11</v>
      </c>
    </row>
    <row r="132" spans="1:13" ht="12.75" customHeight="1">
      <c r="A132" t="s">
        <v>69</v>
      </c>
      <c r="C132" s="20"/>
      <c r="I132" s="43"/>
      <c r="J132" s="43"/>
      <c r="K132" s="43"/>
      <c r="L132" s="84">
        <v>325000</v>
      </c>
      <c r="M132" s="43"/>
    </row>
    <row r="133" spans="1:13" ht="12.75" customHeight="1">
      <c r="A133" t="s">
        <v>70</v>
      </c>
      <c r="C133" s="20"/>
      <c r="I133" s="43"/>
      <c r="J133" s="43"/>
      <c r="K133" s="43"/>
      <c r="L133" s="84">
        <f>L130+L131-L132</f>
        <v>1800000</v>
      </c>
      <c r="M133" s="43"/>
    </row>
    <row r="134" spans="1:13" ht="12.75" customHeight="1">
      <c r="A134" t="s">
        <v>54</v>
      </c>
      <c r="B134">
        <v>3</v>
      </c>
      <c r="C134" s="82">
        <f>C37</f>
        <v>7.5</v>
      </c>
      <c r="D134" s="82">
        <f aca="true" t="shared" si="5" ref="D134:M134">D37</f>
        <v>780000</v>
      </c>
      <c r="E134" s="82">
        <f t="shared" si="5"/>
        <v>5850000</v>
      </c>
      <c r="F134" s="82">
        <f t="shared" si="5"/>
        <v>2.5</v>
      </c>
      <c r="G134" s="82">
        <f t="shared" si="5"/>
        <v>1950000</v>
      </c>
      <c r="H134" s="82">
        <f t="shared" si="5"/>
        <v>3900000</v>
      </c>
      <c r="I134" s="82">
        <f t="shared" si="5"/>
        <v>0</v>
      </c>
      <c r="J134" s="82">
        <f t="shared" si="5"/>
        <v>3900000</v>
      </c>
      <c r="K134" s="82">
        <f t="shared" si="5"/>
        <v>5</v>
      </c>
      <c r="L134" s="83">
        <f t="shared" si="5"/>
        <v>195000</v>
      </c>
      <c r="M134" s="82">
        <f t="shared" si="5"/>
        <v>20</v>
      </c>
    </row>
    <row r="135" spans="1:13" ht="12.75" customHeight="1">
      <c r="A135" t="s">
        <v>71</v>
      </c>
      <c r="C135" s="20"/>
      <c r="I135" s="43"/>
      <c r="J135" s="43"/>
      <c r="K135" s="43"/>
      <c r="L135" s="84"/>
      <c r="M135" s="43"/>
    </row>
    <row r="136" spans="1:13" ht="12.75" customHeight="1">
      <c r="A136" t="s">
        <v>72</v>
      </c>
      <c r="C136" s="20"/>
      <c r="H136" s="85">
        <f>E126*320000</f>
        <v>2048000</v>
      </c>
      <c r="I136" s="43"/>
      <c r="J136" s="43"/>
      <c r="K136" s="43"/>
      <c r="L136" s="84"/>
      <c r="M136" s="43"/>
    </row>
    <row r="137" spans="1:13" ht="12.75" customHeight="1" thickBot="1">
      <c r="A137" t="s">
        <v>73</v>
      </c>
      <c r="C137" s="20"/>
      <c r="H137" s="86">
        <f>H130+H131+H134-H136</f>
        <v>29727000</v>
      </c>
      <c r="I137" s="43"/>
      <c r="J137" s="43"/>
      <c r="K137" s="43"/>
      <c r="L137" s="84"/>
      <c r="M137" s="43"/>
    </row>
    <row r="138" spans="1:13" ht="12.75" customHeight="1" thickTop="1">
      <c r="A138" t="s">
        <v>74</v>
      </c>
      <c r="I138" s="43"/>
      <c r="J138" s="43"/>
      <c r="K138" s="43"/>
      <c r="L138" s="55"/>
      <c r="M138" s="43"/>
    </row>
    <row r="139" spans="9:13" ht="12.75" customHeight="1">
      <c r="I139" s="43"/>
      <c r="J139" s="43"/>
      <c r="K139" s="43"/>
      <c r="L139" s="55"/>
      <c r="M139" s="43"/>
    </row>
    <row r="140" spans="9:13" ht="12.75" customHeight="1">
      <c r="I140" s="43"/>
      <c r="J140" s="43"/>
      <c r="K140" s="43"/>
      <c r="L140" s="55"/>
      <c r="M140" s="43"/>
    </row>
    <row r="141" spans="9:13" ht="12.75" customHeight="1">
      <c r="I141" s="43"/>
      <c r="J141" s="43"/>
      <c r="K141" s="43"/>
      <c r="L141" s="43"/>
      <c r="M141" s="43"/>
    </row>
    <row r="142" spans="9:13" ht="12.75" customHeight="1">
      <c r="I142" s="43"/>
      <c r="J142" s="43"/>
      <c r="K142" s="43"/>
      <c r="L142" s="43"/>
      <c r="M142" s="43"/>
    </row>
    <row r="143" spans="9:13" ht="12.75" customHeight="1">
      <c r="I143" s="43"/>
      <c r="J143" s="43"/>
      <c r="K143" s="43"/>
      <c r="L143" s="43"/>
      <c r="M143" s="43"/>
    </row>
    <row r="144" spans="9:13" ht="12.75" customHeight="1">
      <c r="I144" s="43"/>
      <c r="J144" s="43"/>
      <c r="K144" s="43"/>
      <c r="L144" s="43"/>
      <c r="M144" s="43"/>
    </row>
    <row r="145" spans="9:13" ht="12.75" customHeight="1">
      <c r="I145" s="43"/>
      <c r="J145" s="43"/>
      <c r="K145" s="43"/>
      <c r="L145" s="43"/>
      <c r="M145" s="43"/>
    </row>
    <row r="146" spans="9:13" ht="12.75" customHeight="1">
      <c r="I146" s="43"/>
      <c r="J146" s="43"/>
      <c r="K146" s="43"/>
      <c r="L146" s="43"/>
      <c r="M146" s="43"/>
    </row>
    <row r="147" spans="9:13" ht="12.75" customHeight="1">
      <c r="I147" s="43"/>
      <c r="J147" s="43"/>
      <c r="K147" s="43"/>
      <c r="L147" s="43"/>
      <c r="M147" s="43"/>
    </row>
    <row r="148" spans="9:13" ht="12.75" customHeight="1">
      <c r="I148" s="43"/>
      <c r="J148" s="43"/>
      <c r="K148" s="43"/>
      <c r="L148" s="43"/>
      <c r="M148" s="43"/>
    </row>
    <row r="149" spans="9:13" ht="12.75" customHeight="1">
      <c r="I149" s="43"/>
      <c r="J149" s="43"/>
      <c r="K149" s="43"/>
      <c r="L149" s="43"/>
      <c r="M149" s="43"/>
    </row>
    <row r="150" spans="9:13" ht="12.75" customHeight="1">
      <c r="I150" s="43"/>
      <c r="J150" s="43"/>
      <c r="K150" s="43"/>
      <c r="L150" s="43"/>
      <c r="M150" s="43"/>
    </row>
    <row r="151" spans="9:13" ht="12.75" customHeight="1">
      <c r="I151" s="43"/>
      <c r="J151" s="43"/>
      <c r="K151" s="43"/>
      <c r="L151" s="43"/>
      <c r="M151" s="43"/>
    </row>
    <row r="152" spans="9:13" ht="12.75" customHeight="1">
      <c r="I152" s="43"/>
      <c r="J152" s="43"/>
      <c r="K152" s="43"/>
      <c r="L152" s="43"/>
      <c r="M152" s="43"/>
    </row>
    <row r="153" spans="9:13" ht="12.75" customHeight="1">
      <c r="I153" s="43"/>
      <c r="J153" s="43"/>
      <c r="K153" s="43"/>
      <c r="L153" s="43"/>
      <c r="M153" s="43"/>
    </row>
    <row r="154" spans="9:13" ht="12.75" customHeight="1">
      <c r="I154" s="43"/>
      <c r="J154" s="43"/>
      <c r="K154" s="43"/>
      <c r="L154" s="43"/>
      <c r="M154" s="43"/>
    </row>
    <row r="155" spans="9:13" ht="12.75" customHeight="1">
      <c r="I155" s="43"/>
      <c r="J155" s="43"/>
      <c r="K155" s="43"/>
      <c r="L155" s="43"/>
      <c r="M155" s="43"/>
    </row>
    <row r="156" spans="9:13" ht="12.75" customHeight="1">
      <c r="I156" s="43"/>
      <c r="J156" s="43"/>
      <c r="K156" s="43"/>
      <c r="L156" s="43"/>
      <c r="M156" s="43"/>
    </row>
    <row r="157" spans="9:13" ht="12.75" customHeight="1">
      <c r="I157" s="43"/>
      <c r="J157" s="43"/>
      <c r="K157" s="43"/>
      <c r="L157" s="43"/>
      <c r="M157" s="43"/>
    </row>
    <row r="158" spans="9:13" ht="12.75" customHeight="1">
      <c r="I158" s="43"/>
      <c r="J158" s="43"/>
      <c r="K158" s="43"/>
      <c r="L158" s="43"/>
      <c r="M158" s="43"/>
    </row>
    <row r="159" spans="9:13" ht="12.75" customHeight="1">
      <c r="I159" s="43"/>
      <c r="J159" s="43"/>
      <c r="K159" s="43"/>
      <c r="L159" s="43"/>
      <c r="M159" s="43"/>
    </row>
    <row r="160" spans="9:13" ht="12.75" customHeight="1">
      <c r="I160" s="43"/>
      <c r="J160" s="43"/>
      <c r="K160" s="43"/>
      <c r="L160" s="43"/>
      <c r="M160" s="43"/>
    </row>
    <row r="161" spans="9:13" ht="12.75" customHeight="1">
      <c r="I161" s="43"/>
      <c r="J161" s="43"/>
      <c r="K161" s="43"/>
      <c r="L161" s="43"/>
      <c r="M161" s="43"/>
    </row>
    <row r="162" spans="9:13" ht="12.75" customHeight="1">
      <c r="I162" s="43"/>
      <c r="J162" s="43"/>
      <c r="K162" s="43"/>
      <c r="L162" s="43"/>
      <c r="M162" s="43"/>
    </row>
    <row r="163" spans="9:13" ht="12.75" customHeight="1">
      <c r="I163" s="43"/>
      <c r="J163" s="43"/>
      <c r="K163" s="43"/>
      <c r="L163" s="43"/>
      <c r="M163" s="43"/>
    </row>
    <row r="164" spans="9:13" ht="12.75" customHeight="1">
      <c r="I164" s="43"/>
      <c r="J164" s="43"/>
      <c r="K164" s="43"/>
      <c r="L164" s="43"/>
      <c r="M164" s="43"/>
    </row>
    <row r="165" spans="9:13" ht="12.75" customHeight="1">
      <c r="I165" s="43"/>
      <c r="J165" s="43"/>
      <c r="K165" s="43"/>
      <c r="L165" s="43"/>
      <c r="M165" s="43"/>
    </row>
    <row r="166" spans="9:13" ht="12.75" customHeight="1">
      <c r="I166" s="43"/>
      <c r="J166" s="43"/>
      <c r="K166" s="43"/>
      <c r="L166" s="43"/>
      <c r="M166" s="43"/>
    </row>
    <row r="167" spans="9:13" ht="12.75" customHeight="1">
      <c r="I167" s="43"/>
      <c r="J167" s="43"/>
      <c r="K167" s="43"/>
      <c r="L167" s="43"/>
      <c r="M167" s="43"/>
    </row>
    <row r="168" spans="9:13" ht="12.75" customHeight="1">
      <c r="I168" s="43"/>
      <c r="J168" s="43"/>
      <c r="K168" s="43"/>
      <c r="L168" s="43"/>
      <c r="M168" s="43"/>
    </row>
    <row r="169" spans="9:13" ht="12.75" customHeight="1">
      <c r="I169" s="43"/>
      <c r="J169" s="43"/>
      <c r="K169" s="43"/>
      <c r="L169" s="43"/>
      <c r="M169" s="43"/>
    </row>
    <row r="170" spans="9:13" ht="12.75" customHeight="1">
      <c r="I170" s="43"/>
      <c r="J170" s="43"/>
      <c r="K170" s="43"/>
      <c r="L170" s="43"/>
      <c r="M170" s="43"/>
    </row>
    <row r="171" spans="9:13" ht="12.75" customHeight="1">
      <c r="I171" s="43"/>
      <c r="J171" s="43"/>
      <c r="K171" s="43"/>
      <c r="L171" s="43"/>
      <c r="M171" s="43"/>
    </row>
    <row r="172" spans="9:13" ht="12.75" customHeight="1">
      <c r="I172" s="43"/>
      <c r="J172" s="43"/>
      <c r="K172" s="43"/>
      <c r="L172" s="43"/>
      <c r="M172" s="43"/>
    </row>
    <row r="173" spans="9:13" ht="12.75" customHeight="1">
      <c r="I173" s="43"/>
      <c r="J173" s="43"/>
      <c r="K173" s="43"/>
      <c r="L173" s="43"/>
      <c r="M173" s="43"/>
    </row>
    <row r="174" spans="9:13" ht="12.75" customHeight="1">
      <c r="I174" s="43"/>
      <c r="J174" s="43"/>
      <c r="K174" s="43"/>
      <c r="L174" s="43"/>
      <c r="M174" s="43"/>
    </row>
    <row r="175" spans="9:13" ht="12.75" customHeight="1">
      <c r="I175" s="43"/>
      <c r="J175" s="43"/>
      <c r="K175" s="43"/>
      <c r="L175" s="43"/>
      <c r="M175" s="43"/>
    </row>
    <row r="176" spans="9:13" ht="12.75" customHeight="1">
      <c r="I176" s="43"/>
      <c r="J176" s="43"/>
      <c r="K176" s="43"/>
      <c r="L176" s="43"/>
      <c r="M176" s="43"/>
    </row>
    <row r="177" spans="9:13" ht="12.75" customHeight="1">
      <c r="I177" s="43"/>
      <c r="J177" s="43"/>
      <c r="K177" s="43"/>
      <c r="L177" s="43"/>
      <c r="M177" s="43"/>
    </row>
    <row r="178" spans="9:13" ht="12.75" customHeight="1">
      <c r="I178" s="43"/>
      <c r="J178" s="43"/>
      <c r="K178" s="43"/>
      <c r="L178" s="43"/>
      <c r="M178" s="43"/>
    </row>
    <row r="179" spans="9:13" ht="12.75" customHeight="1">
      <c r="I179" s="43"/>
      <c r="J179" s="43"/>
      <c r="K179" s="43"/>
      <c r="L179" s="43"/>
      <c r="M179" s="43"/>
    </row>
    <row r="180" spans="9:13" ht="12.75" customHeight="1">
      <c r="I180" s="43"/>
      <c r="J180" s="43"/>
      <c r="K180" s="43"/>
      <c r="L180" s="43"/>
      <c r="M180" s="43"/>
    </row>
    <row r="181" spans="9:13" ht="12.75" customHeight="1">
      <c r="I181" s="43"/>
      <c r="J181" s="43"/>
      <c r="K181" s="43"/>
      <c r="L181" s="43"/>
      <c r="M181" s="43"/>
    </row>
    <row r="182" spans="9:13" ht="12.75" customHeight="1">
      <c r="I182" s="43"/>
      <c r="J182" s="43"/>
      <c r="K182" s="43"/>
      <c r="L182" s="43"/>
      <c r="M182" s="43"/>
    </row>
    <row r="183" spans="9:13" ht="12.75" customHeight="1">
      <c r="I183" s="43"/>
      <c r="J183" s="43"/>
      <c r="K183" s="43"/>
      <c r="L183" s="43"/>
      <c r="M183" s="43"/>
    </row>
    <row r="184" spans="9:13" ht="12.75" customHeight="1">
      <c r="I184" s="43"/>
      <c r="J184" s="43"/>
      <c r="K184" s="43"/>
      <c r="L184" s="43"/>
      <c r="M184" s="43"/>
    </row>
    <row r="185" spans="9:13" ht="12.75" customHeight="1">
      <c r="I185" s="43"/>
      <c r="J185" s="43"/>
      <c r="K185" s="43"/>
      <c r="L185" s="43"/>
      <c r="M185" s="43"/>
    </row>
    <row r="186" spans="9:13" ht="12.75" customHeight="1">
      <c r="I186" s="43"/>
      <c r="J186" s="43"/>
      <c r="K186" s="43"/>
      <c r="L186" s="43"/>
      <c r="M186" s="43"/>
    </row>
    <row r="187" spans="9:13" ht="12.75" customHeight="1">
      <c r="I187" s="43"/>
      <c r="J187" s="43"/>
      <c r="K187" s="43"/>
      <c r="L187" s="43"/>
      <c r="M187" s="43"/>
    </row>
    <row r="188" spans="9:13" ht="12.75" customHeight="1">
      <c r="I188" s="43"/>
      <c r="J188" s="43"/>
      <c r="K188" s="43"/>
      <c r="L188" s="43"/>
      <c r="M188" s="43"/>
    </row>
    <row r="189" spans="9:13" ht="12.75" customHeight="1">
      <c r="I189" s="43"/>
      <c r="J189" s="43"/>
      <c r="K189" s="43"/>
      <c r="L189" s="43"/>
      <c r="M189" s="43"/>
    </row>
    <row r="190" spans="9:13" ht="12.75" customHeight="1">
      <c r="I190" s="43"/>
      <c r="J190" s="43"/>
      <c r="K190" s="43"/>
      <c r="L190" s="43"/>
      <c r="M190" s="43"/>
    </row>
    <row r="191" spans="9:13" ht="12.75" customHeight="1">
      <c r="I191" s="43"/>
      <c r="J191" s="43"/>
      <c r="K191" s="43"/>
      <c r="L191" s="43"/>
      <c r="M191" s="43"/>
    </row>
    <row r="192" spans="9:13" ht="12.75" customHeight="1">
      <c r="I192" s="43"/>
      <c r="J192" s="43"/>
      <c r="K192" s="43"/>
      <c r="L192" s="43"/>
      <c r="M192" s="43"/>
    </row>
    <row r="193" spans="9:13" ht="12.75" customHeight="1">
      <c r="I193" s="43"/>
      <c r="J193" s="43"/>
      <c r="K193" s="43"/>
      <c r="L193" s="43"/>
      <c r="M193" s="43"/>
    </row>
    <row r="194" spans="9:13" ht="12.75" customHeight="1">
      <c r="I194" s="43"/>
      <c r="J194" s="43"/>
      <c r="K194" s="43"/>
      <c r="L194" s="43"/>
      <c r="M194" s="43"/>
    </row>
    <row r="195" spans="9:13" ht="12.75" customHeight="1">
      <c r="I195" s="43"/>
      <c r="J195" s="43"/>
      <c r="K195" s="43"/>
      <c r="L195" s="43"/>
      <c r="M195" s="43"/>
    </row>
    <row r="196" spans="9:13" ht="12.75" customHeight="1">
      <c r="I196" s="43"/>
      <c r="J196" s="43"/>
      <c r="K196" s="43"/>
      <c r="L196" s="43"/>
      <c r="M196" s="43"/>
    </row>
    <row r="197" spans="9:13" ht="12.75" customHeight="1">
      <c r="I197" s="43"/>
      <c r="J197" s="43"/>
      <c r="K197" s="43"/>
      <c r="L197" s="43"/>
      <c r="M197" s="43"/>
    </row>
    <row r="198" spans="9:13" ht="12.75" customHeight="1">
      <c r="I198" s="43"/>
      <c r="J198" s="43"/>
      <c r="K198" s="43"/>
      <c r="L198" s="43"/>
      <c r="M198" s="43"/>
    </row>
    <row r="199" spans="9:13" ht="12.75" customHeight="1">
      <c r="I199" s="43"/>
      <c r="J199" s="43"/>
      <c r="K199" s="43"/>
      <c r="L199" s="43"/>
      <c r="M199" s="43"/>
    </row>
    <row r="200" spans="9:13" ht="12.75" customHeight="1">
      <c r="I200" s="43"/>
      <c r="J200" s="43"/>
      <c r="K200" s="43"/>
      <c r="L200" s="43"/>
      <c r="M200" s="43"/>
    </row>
    <row r="201" spans="9:13" ht="12.75" customHeight="1">
      <c r="I201" s="43"/>
      <c r="J201" s="43"/>
      <c r="K201" s="43"/>
      <c r="L201" s="43"/>
      <c r="M201" s="43"/>
    </row>
    <row r="202" spans="9:13" ht="12.75" customHeight="1">
      <c r="I202" s="43"/>
      <c r="J202" s="43"/>
      <c r="K202" s="43"/>
      <c r="L202" s="43"/>
      <c r="M202" s="43"/>
    </row>
    <row r="203" spans="9:13" ht="12.75" customHeight="1">
      <c r="I203" s="43"/>
      <c r="J203" s="43"/>
      <c r="K203" s="43"/>
      <c r="L203" s="43"/>
      <c r="M203" s="43"/>
    </row>
    <row r="204" spans="9:13" ht="12.75" customHeight="1">
      <c r="I204" s="43"/>
      <c r="J204" s="43"/>
      <c r="K204" s="43"/>
      <c r="L204" s="43"/>
      <c r="M204" s="43"/>
    </row>
    <row r="205" spans="9:13" ht="12.75" customHeight="1">
      <c r="I205" s="43"/>
      <c r="J205" s="43"/>
      <c r="K205" s="43"/>
      <c r="L205" s="43"/>
      <c r="M205" s="43"/>
    </row>
    <row r="206" spans="9:13" ht="12.75" customHeight="1">
      <c r="I206" s="43"/>
      <c r="J206" s="43"/>
      <c r="K206" s="43"/>
      <c r="L206" s="43"/>
      <c r="M206" s="43"/>
    </row>
    <row r="207" spans="9:13" ht="12.75" customHeight="1">
      <c r="I207" s="43"/>
      <c r="J207" s="43"/>
      <c r="K207" s="43"/>
      <c r="L207" s="43"/>
      <c r="M207" s="43"/>
    </row>
    <row r="208" spans="9:13" ht="12.75" customHeight="1">
      <c r="I208" s="43"/>
      <c r="J208" s="43"/>
      <c r="K208" s="43"/>
      <c r="L208" s="43"/>
      <c r="M208" s="43"/>
    </row>
    <row r="209" spans="9:13" ht="12.75" customHeight="1">
      <c r="I209" s="43"/>
      <c r="J209" s="43"/>
      <c r="K209" s="43"/>
      <c r="L209" s="43"/>
      <c r="M209" s="43"/>
    </row>
    <row r="210" spans="9:13" ht="12.75" customHeight="1">
      <c r="I210" s="43"/>
      <c r="J210" s="43"/>
      <c r="K210" s="43"/>
      <c r="L210" s="43"/>
      <c r="M210" s="43"/>
    </row>
    <row r="211" spans="9:13" ht="12.75" customHeight="1">
      <c r="I211" s="43"/>
      <c r="J211" s="43"/>
      <c r="K211" s="43"/>
      <c r="L211" s="43"/>
      <c r="M211" s="43"/>
    </row>
    <row r="212" spans="9:13" ht="12.75" customHeight="1">
      <c r="I212" s="43"/>
      <c r="J212" s="43"/>
      <c r="K212" s="43"/>
      <c r="L212" s="43"/>
      <c r="M212" s="43"/>
    </row>
    <row r="213" spans="9:13" ht="12.75" customHeight="1">
      <c r="I213" s="43"/>
      <c r="J213" s="43"/>
      <c r="K213" s="43"/>
      <c r="L213" s="43"/>
      <c r="M213" s="43"/>
    </row>
    <row r="214" spans="9:13" ht="12.75" customHeight="1">
      <c r="I214" s="43"/>
      <c r="J214" s="43"/>
      <c r="K214" s="43"/>
      <c r="L214" s="43"/>
      <c r="M214" s="43"/>
    </row>
    <row r="215" spans="9:13" ht="12.75" customHeight="1">
      <c r="I215" s="43"/>
      <c r="J215" s="43"/>
      <c r="K215" s="43"/>
      <c r="L215" s="43"/>
      <c r="M215" s="43"/>
    </row>
    <row r="216" spans="9:13" ht="12.75" customHeight="1">
      <c r="I216" s="43"/>
      <c r="J216" s="43"/>
      <c r="K216" s="43"/>
      <c r="L216" s="43"/>
      <c r="M216" s="43"/>
    </row>
    <row r="217" spans="9:13" ht="12.75" customHeight="1">
      <c r="I217" s="43"/>
      <c r="J217" s="43"/>
      <c r="K217" s="43"/>
      <c r="L217" s="43"/>
      <c r="M217" s="43"/>
    </row>
    <row r="218" spans="9:13" ht="12.75" customHeight="1">
      <c r="I218" s="43"/>
      <c r="J218" s="43"/>
      <c r="K218" s="43"/>
      <c r="L218" s="43"/>
      <c r="M218" s="43"/>
    </row>
    <row r="219" spans="9:13" ht="12.75" customHeight="1">
      <c r="I219" s="43"/>
      <c r="J219" s="43"/>
      <c r="K219" s="43"/>
      <c r="L219" s="43"/>
      <c r="M219" s="43"/>
    </row>
    <row r="220" spans="9:13" ht="12.75" customHeight="1">
      <c r="I220" s="43"/>
      <c r="J220" s="43"/>
      <c r="K220" s="43"/>
      <c r="L220" s="43"/>
      <c r="M220" s="43"/>
    </row>
    <row r="221" spans="9:13" ht="12.75" customHeight="1">
      <c r="I221" s="43"/>
      <c r="J221" s="43"/>
      <c r="K221" s="43"/>
      <c r="L221" s="43"/>
      <c r="M221" s="43"/>
    </row>
    <row r="222" spans="9:13" ht="12.75" customHeight="1">
      <c r="I222" s="43"/>
      <c r="J222" s="43"/>
      <c r="K222" s="43"/>
      <c r="L222" s="43"/>
      <c r="M222" s="43"/>
    </row>
    <row r="223" spans="9:13" ht="12.75" customHeight="1">
      <c r="I223" s="43"/>
      <c r="J223" s="43"/>
      <c r="K223" s="43"/>
      <c r="L223" s="43"/>
      <c r="M223" s="43"/>
    </row>
    <row r="224" spans="9:13" ht="12.75" customHeight="1">
      <c r="I224" s="43"/>
      <c r="J224" s="43"/>
      <c r="K224" s="43"/>
      <c r="L224" s="43"/>
      <c r="M224" s="43"/>
    </row>
    <row r="225" spans="9:13" ht="12.75" customHeight="1">
      <c r="I225" s="43"/>
      <c r="J225" s="43"/>
      <c r="K225" s="43"/>
      <c r="L225" s="43"/>
      <c r="M225" s="43"/>
    </row>
    <row r="226" spans="9:13" ht="12.75" customHeight="1">
      <c r="I226" s="43"/>
      <c r="J226" s="43"/>
      <c r="K226" s="43"/>
      <c r="L226" s="43"/>
      <c r="M226" s="43"/>
    </row>
    <row r="227" spans="9:13" ht="12.75" customHeight="1">
      <c r="I227" s="43"/>
      <c r="J227" s="43"/>
      <c r="K227" s="43"/>
      <c r="L227" s="43"/>
      <c r="M227" s="43"/>
    </row>
    <row r="228" spans="9:13" ht="12.75" customHeight="1">
      <c r="I228" s="43"/>
      <c r="J228" s="43"/>
      <c r="K228" s="43"/>
      <c r="L228" s="43"/>
      <c r="M228" s="43"/>
    </row>
    <row r="229" spans="9:13" ht="12.75" customHeight="1">
      <c r="I229" s="43"/>
      <c r="J229" s="43"/>
      <c r="K229" s="43"/>
      <c r="L229" s="43"/>
      <c r="M229" s="43"/>
    </row>
    <row r="230" spans="9:13" ht="12.75" customHeight="1">
      <c r="I230" s="43"/>
      <c r="J230" s="43"/>
      <c r="K230" s="43"/>
      <c r="L230" s="43"/>
      <c r="M230" s="43"/>
    </row>
    <row r="231" spans="9:13" ht="12.75" customHeight="1">
      <c r="I231" s="43"/>
      <c r="J231" s="43"/>
      <c r="K231" s="43"/>
      <c r="L231" s="43"/>
      <c r="M231" s="43"/>
    </row>
    <row r="232" spans="9:13" ht="12.75" customHeight="1">
      <c r="I232" s="43"/>
      <c r="J232" s="43"/>
      <c r="K232" s="43"/>
      <c r="L232" s="43"/>
      <c r="M232" s="43"/>
    </row>
    <row r="233" spans="9:13" ht="12.75" customHeight="1">
      <c r="I233" s="43"/>
      <c r="J233" s="43"/>
      <c r="K233" s="43"/>
      <c r="L233" s="43"/>
      <c r="M233" s="43"/>
    </row>
    <row r="234" spans="9:13" ht="12.75" customHeight="1">
      <c r="I234" s="43"/>
      <c r="J234" s="43"/>
      <c r="K234" s="43"/>
      <c r="L234" s="43"/>
      <c r="M234" s="43"/>
    </row>
    <row r="235" spans="9:13" ht="12.75" customHeight="1">
      <c r="I235" s="43"/>
      <c r="J235" s="43"/>
      <c r="K235" s="43"/>
      <c r="L235" s="43"/>
      <c r="M235" s="43"/>
    </row>
    <row r="236" spans="9:13" ht="12.75" customHeight="1">
      <c r="I236" s="43"/>
      <c r="J236" s="43"/>
      <c r="K236" s="43"/>
      <c r="L236" s="43"/>
      <c r="M236" s="43"/>
    </row>
    <row r="237" spans="9:13" ht="12.75" customHeight="1">
      <c r="I237" s="43"/>
      <c r="J237" s="43"/>
      <c r="K237" s="43"/>
      <c r="L237" s="43"/>
      <c r="M237" s="43"/>
    </row>
    <row r="238" spans="9:13" ht="12.75" customHeight="1">
      <c r="I238" s="43"/>
      <c r="J238" s="43"/>
      <c r="K238" s="43"/>
      <c r="L238" s="43"/>
      <c r="M238" s="43"/>
    </row>
    <row r="239" spans="9:13" ht="12.75" customHeight="1">
      <c r="I239" s="43"/>
      <c r="J239" s="43"/>
      <c r="K239" s="43"/>
      <c r="L239" s="43"/>
      <c r="M239" s="43"/>
    </row>
    <row r="240" spans="9:13" ht="12.75" customHeight="1">
      <c r="I240" s="43"/>
      <c r="J240" s="43"/>
      <c r="K240" s="43"/>
      <c r="L240" s="43"/>
      <c r="M240" s="43"/>
    </row>
    <row r="241" spans="9:13" ht="12.75" customHeight="1">
      <c r="I241" s="43"/>
      <c r="J241" s="43"/>
      <c r="K241" s="43"/>
      <c r="L241" s="43"/>
      <c r="M241" s="43"/>
    </row>
    <row r="242" spans="9:13" ht="12.75" customHeight="1">
      <c r="I242" s="43"/>
      <c r="J242" s="43"/>
      <c r="K242" s="43"/>
      <c r="L242" s="43"/>
      <c r="M242" s="43"/>
    </row>
    <row r="243" spans="9:13" ht="12.75" customHeight="1">
      <c r="I243" s="43"/>
      <c r="J243" s="43"/>
      <c r="K243" s="43"/>
      <c r="L243" s="43"/>
      <c r="M243" s="43"/>
    </row>
    <row r="244" spans="9:13" ht="12.75" customHeight="1">
      <c r="I244" s="43"/>
      <c r="J244" s="43"/>
      <c r="K244" s="43"/>
      <c r="L244" s="43"/>
      <c r="M244" s="43"/>
    </row>
    <row r="245" spans="9:13" ht="12.75" customHeight="1">
      <c r="I245" s="43"/>
      <c r="J245" s="43"/>
      <c r="K245" s="43"/>
      <c r="L245" s="43"/>
      <c r="M245" s="43"/>
    </row>
    <row r="246" spans="9:13" ht="12.75" customHeight="1">
      <c r="I246" s="43"/>
      <c r="J246" s="43"/>
      <c r="K246" s="43"/>
      <c r="L246" s="43"/>
      <c r="M246" s="43"/>
    </row>
    <row r="247" spans="9:13" ht="12.75" customHeight="1">
      <c r="I247" s="43"/>
      <c r="J247" s="43"/>
      <c r="K247" s="43"/>
      <c r="L247" s="43"/>
      <c r="M247" s="43"/>
    </row>
    <row r="248" spans="9:13" ht="12.75" customHeight="1">
      <c r="I248" s="43"/>
      <c r="J248" s="43"/>
      <c r="K248" s="43"/>
      <c r="L248" s="43"/>
      <c r="M248" s="43"/>
    </row>
    <row r="249" spans="9:13" ht="12.75" customHeight="1">
      <c r="I249" s="43"/>
      <c r="J249" s="43"/>
      <c r="K249" s="43"/>
      <c r="L249" s="43"/>
      <c r="M249" s="43"/>
    </row>
    <row r="250" spans="9:13" ht="12.75" customHeight="1">
      <c r="I250" s="43"/>
      <c r="J250" s="43"/>
      <c r="K250" s="43"/>
      <c r="L250" s="43"/>
      <c r="M250" s="43"/>
    </row>
    <row r="251" spans="9:13" ht="12.75" customHeight="1">
      <c r="I251" s="43"/>
      <c r="J251" s="43"/>
      <c r="K251" s="43"/>
      <c r="L251" s="43"/>
      <c r="M251" s="43"/>
    </row>
    <row r="252" spans="9:13" ht="12.75" customHeight="1">
      <c r="I252" s="43"/>
      <c r="J252" s="43"/>
      <c r="K252" s="43"/>
      <c r="L252" s="43"/>
      <c r="M252" s="43"/>
    </row>
    <row r="253" spans="9:13" ht="12.75" customHeight="1">
      <c r="I253" s="43"/>
      <c r="J253" s="43"/>
      <c r="K253" s="43"/>
      <c r="L253" s="43"/>
      <c r="M253" s="43"/>
    </row>
    <row r="254" spans="9:13" ht="12.75" customHeight="1">
      <c r="I254" s="43"/>
      <c r="J254" s="43"/>
      <c r="K254" s="43"/>
      <c r="L254" s="43"/>
      <c r="M254" s="43"/>
    </row>
    <row r="255" spans="9:13" ht="12.75" customHeight="1">
      <c r="I255" s="43"/>
      <c r="J255" s="43"/>
      <c r="K255" s="43"/>
      <c r="L255" s="43"/>
      <c r="M255" s="43"/>
    </row>
    <row r="256" spans="9:13" ht="12.75" customHeight="1">
      <c r="I256" s="43"/>
      <c r="J256" s="43"/>
      <c r="K256" s="43"/>
      <c r="L256" s="43"/>
      <c r="M256" s="43"/>
    </row>
    <row r="257" spans="9:13" ht="12.75" customHeight="1">
      <c r="I257" s="43"/>
      <c r="J257" s="43"/>
      <c r="K257" s="43"/>
      <c r="L257" s="43"/>
      <c r="M257" s="43"/>
    </row>
    <row r="258" spans="9:13" ht="12.75" customHeight="1">
      <c r="I258" s="43"/>
      <c r="J258" s="43"/>
      <c r="K258" s="43"/>
      <c r="L258" s="43"/>
      <c r="M258" s="43"/>
    </row>
    <row r="259" spans="9:13" ht="12.75" customHeight="1">
      <c r="I259" s="43"/>
      <c r="J259" s="43"/>
      <c r="K259" s="43"/>
      <c r="L259" s="43"/>
      <c r="M259" s="43"/>
    </row>
    <row r="260" spans="9:13" ht="12.75" customHeight="1">
      <c r="I260" s="43"/>
      <c r="J260" s="43"/>
      <c r="K260" s="43"/>
      <c r="L260" s="43"/>
      <c r="M260" s="43"/>
    </row>
    <row r="261" spans="9:13" ht="12.75" customHeight="1">
      <c r="I261" s="43"/>
      <c r="J261" s="43"/>
      <c r="K261" s="43"/>
      <c r="L261" s="43"/>
      <c r="M261" s="43"/>
    </row>
    <row r="262" spans="9:13" ht="12.75" customHeight="1">
      <c r="I262" s="43"/>
      <c r="J262" s="43"/>
      <c r="K262" s="43"/>
      <c r="L262" s="43"/>
      <c r="M262" s="43"/>
    </row>
    <row r="263" spans="9:13" ht="12.75" customHeight="1">
      <c r="I263" s="43"/>
      <c r="J263" s="43"/>
      <c r="K263" s="43"/>
      <c r="L263" s="43"/>
      <c r="M263" s="43"/>
    </row>
    <row r="264" spans="9:13" ht="12.75" customHeight="1">
      <c r="I264" s="43"/>
      <c r="J264" s="43"/>
      <c r="K264" s="43"/>
      <c r="L264" s="43"/>
      <c r="M264" s="43"/>
    </row>
    <row r="265" spans="9:13" ht="12.75" customHeight="1">
      <c r="I265" s="43"/>
      <c r="J265" s="43"/>
      <c r="K265" s="43"/>
      <c r="L265" s="43"/>
      <c r="M265" s="43"/>
    </row>
    <row r="266" spans="9:13" ht="12.75" customHeight="1">
      <c r="I266" s="43"/>
      <c r="J266" s="43"/>
      <c r="K266" s="43"/>
      <c r="L266" s="43"/>
      <c r="M266" s="43"/>
    </row>
    <row r="267" spans="9:13" ht="12.75" customHeight="1">
      <c r="I267" s="43"/>
      <c r="J267" s="43"/>
      <c r="K267" s="43"/>
      <c r="L267" s="43"/>
      <c r="M267" s="43"/>
    </row>
    <row r="268" spans="9:13" ht="12.75" customHeight="1">
      <c r="I268" s="43"/>
      <c r="J268" s="43"/>
      <c r="K268" s="43"/>
      <c r="L268" s="43"/>
      <c r="M268" s="43"/>
    </row>
    <row r="269" spans="9:13" ht="12.75" customHeight="1">
      <c r="I269" s="43"/>
      <c r="J269" s="43"/>
      <c r="K269" s="43"/>
      <c r="L269" s="43"/>
      <c r="M269" s="43"/>
    </row>
    <row r="270" spans="9:13" ht="12.75" customHeight="1">
      <c r="I270" s="43"/>
      <c r="J270" s="43"/>
      <c r="K270" s="43"/>
      <c r="L270" s="43"/>
      <c r="M270" s="43"/>
    </row>
    <row r="271" spans="9:13" ht="12.75" customHeight="1">
      <c r="I271" s="43"/>
      <c r="J271" s="43"/>
      <c r="K271" s="43"/>
      <c r="L271" s="43"/>
      <c r="M271" s="43"/>
    </row>
    <row r="272" spans="9:13" ht="12.75" customHeight="1">
      <c r="I272" s="43"/>
      <c r="J272" s="43"/>
      <c r="K272" s="43"/>
      <c r="L272" s="43"/>
      <c r="M272" s="43"/>
    </row>
    <row r="273" spans="9:13" ht="12.75" customHeight="1">
      <c r="I273" s="43"/>
      <c r="J273" s="43"/>
      <c r="K273" s="43"/>
      <c r="L273" s="43"/>
      <c r="M273" s="43"/>
    </row>
    <row r="274" spans="9:13" ht="12.75" customHeight="1">
      <c r="I274" s="43"/>
      <c r="J274" s="43"/>
      <c r="K274" s="43"/>
      <c r="L274" s="43"/>
      <c r="M274" s="43"/>
    </row>
    <row r="275" spans="9:13" ht="12.75" customHeight="1">
      <c r="I275" s="43"/>
      <c r="J275" s="43"/>
      <c r="K275" s="43"/>
      <c r="L275" s="43"/>
      <c r="M275" s="43"/>
    </row>
    <row r="276" spans="9:13" ht="12.75" customHeight="1">
      <c r="I276" s="43"/>
      <c r="J276" s="43"/>
      <c r="K276" s="43"/>
      <c r="L276" s="43"/>
      <c r="M276" s="43"/>
    </row>
    <row r="277" spans="9:13" ht="12.75" customHeight="1">
      <c r="I277" s="43"/>
      <c r="J277" s="43"/>
      <c r="K277" s="43"/>
      <c r="L277" s="43"/>
      <c r="M277" s="43"/>
    </row>
    <row r="278" spans="9:13" ht="12.75" customHeight="1">
      <c r="I278" s="43"/>
      <c r="J278" s="43"/>
      <c r="K278" s="43"/>
      <c r="L278" s="43"/>
      <c r="M278" s="43"/>
    </row>
    <row r="279" spans="9:13" ht="12.75" customHeight="1">
      <c r="I279" s="43"/>
      <c r="J279" s="43"/>
      <c r="K279" s="43"/>
      <c r="L279" s="43"/>
      <c r="M279" s="43"/>
    </row>
    <row r="280" spans="9:13" ht="12.75" customHeight="1">
      <c r="I280" s="43"/>
      <c r="J280" s="43"/>
      <c r="K280" s="43"/>
      <c r="L280" s="43"/>
      <c r="M280" s="43"/>
    </row>
    <row r="281" spans="9:13" ht="12.75" customHeight="1">
      <c r="I281" s="43"/>
      <c r="J281" s="43"/>
      <c r="K281" s="43"/>
      <c r="L281" s="43"/>
      <c r="M281" s="43"/>
    </row>
    <row r="282" spans="9:13" ht="12.75" customHeight="1">
      <c r="I282" s="43"/>
      <c r="J282" s="43"/>
      <c r="K282" s="43"/>
      <c r="L282" s="43"/>
      <c r="M282" s="43"/>
    </row>
    <row r="283" spans="9:13" ht="12.75" customHeight="1">
      <c r="I283" s="43"/>
      <c r="J283" s="43"/>
      <c r="K283" s="43"/>
      <c r="L283" s="43"/>
      <c r="M283" s="43"/>
    </row>
    <row r="284" spans="9:13" ht="12.75" customHeight="1">
      <c r="I284" s="43"/>
      <c r="J284" s="43"/>
      <c r="K284" s="43"/>
      <c r="L284" s="43"/>
      <c r="M284" s="43"/>
    </row>
    <row r="285" spans="9:13" ht="12.75" customHeight="1">
      <c r="I285" s="43"/>
      <c r="J285" s="43"/>
      <c r="K285" s="43"/>
      <c r="L285" s="43"/>
      <c r="M285" s="43"/>
    </row>
    <row r="286" spans="9:13" ht="12.75" customHeight="1">
      <c r="I286" s="43"/>
      <c r="J286" s="43"/>
      <c r="K286" s="43"/>
      <c r="L286" s="43"/>
      <c r="M286" s="43"/>
    </row>
    <row r="287" spans="9:13" ht="12.75" customHeight="1">
      <c r="I287" s="43"/>
      <c r="J287" s="43"/>
      <c r="K287" s="43"/>
      <c r="L287" s="43"/>
      <c r="M287" s="43"/>
    </row>
    <row r="288" spans="9:13" ht="12.75" customHeight="1">
      <c r="I288" s="43"/>
      <c r="J288" s="43"/>
      <c r="K288" s="43"/>
      <c r="L288" s="43"/>
      <c r="M288" s="43"/>
    </row>
    <row r="289" spans="9:13" ht="12.75" customHeight="1">
      <c r="I289" s="43"/>
      <c r="J289" s="43"/>
      <c r="K289" s="43"/>
      <c r="L289" s="43"/>
      <c r="M289" s="43"/>
    </row>
    <row r="290" spans="9:13" ht="12.75" customHeight="1">
      <c r="I290" s="43"/>
      <c r="J290" s="43"/>
      <c r="K290" s="43"/>
      <c r="L290" s="43"/>
      <c r="M290" s="43"/>
    </row>
    <row r="291" spans="9:13" ht="12.75" customHeight="1">
      <c r="I291" s="43"/>
      <c r="J291" s="43"/>
      <c r="K291" s="43"/>
      <c r="L291" s="43"/>
      <c r="M291" s="43"/>
    </row>
    <row r="292" spans="9:13" ht="12.75" customHeight="1">
      <c r="I292" s="43"/>
      <c r="J292" s="43"/>
      <c r="K292" s="43"/>
      <c r="L292" s="43"/>
      <c r="M292" s="43"/>
    </row>
    <row r="293" spans="9:13" ht="12.75" customHeight="1">
      <c r="I293" s="43"/>
      <c r="J293" s="43"/>
      <c r="K293" s="43"/>
      <c r="L293" s="43"/>
      <c r="M293" s="43"/>
    </row>
    <row r="294" spans="9:13" ht="12.75" customHeight="1">
      <c r="I294" s="43"/>
      <c r="J294" s="43"/>
      <c r="K294" s="43"/>
      <c r="L294" s="43"/>
      <c r="M294" s="43"/>
    </row>
    <row r="295" spans="9:13" ht="12.75" customHeight="1">
      <c r="I295" s="43"/>
      <c r="J295" s="43"/>
      <c r="K295" s="43"/>
      <c r="L295" s="43"/>
      <c r="M295" s="43"/>
    </row>
    <row r="296" spans="9:13" ht="12.75" customHeight="1">
      <c r="I296" s="43"/>
      <c r="J296" s="43"/>
      <c r="K296" s="43"/>
      <c r="L296" s="43"/>
      <c r="M296" s="43"/>
    </row>
    <row r="297" spans="9:13" ht="12.75" customHeight="1">
      <c r="I297" s="43"/>
      <c r="J297" s="43"/>
      <c r="K297" s="43"/>
      <c r="L297" s="43"/>
      <c r="M297" s="43"/>
    </row>
    <row r="298" spans="9:13" ht="12.75" customHeight="1">
      <c r="I298" s="43"/>
      <c r="J298" s="43"/>
      <c r="K298" s="43"/>
      <c r="L298" s="43"/>
      <c r="M298" s="43"/>
    </row>
    <row r="299" spans="9:13" ht="12.75" customHeight="1">
      <c r="I299" s="43"/>
      <c r="J299" s="43"/>
      <c r="K299" s="43"/>
      <c r="L299" s="43"/>
      <c r="M299" s="43"/>
    </row>
    <row r="300" spans="9:13" ht="12.75" customHeight="1">
      <c r="I300" s="43"/>
      <c r="J300" s="43"/>
      <c r="K300" s="43"/>
      <c r="L300" s="43"/>
      <c r="M300" s="43"/>
    </row>
    <row r="301" spans="9:13" ht="12.75" customHeight="1">
      <c r="I301" s="43"/>
      <c r="J301" s="43"/>
      <c r="K301" s="43"/>
      <c r="L301" s="43"/>
      <c r="M301" s="43"/>
    </row>
    <row r="302" spans="9:13" ht="12.75" customHeight="1">
      <c r="I302" s="43"/>
      <c r="J302" s="43"/>
      <c r="K302" s="43"/>
      <c r="L302" s="43"/>
      <c r="M302" s="43"/>
    </row>
    <row r="303" spans="9:13" ht="12.75" customHeight="1">
      <c r="I303" s="43"/>
      <c r="J303" s="43"/>
      <c r="K303" s="43"/>
      <c r="L303" s="43"/>
      <c r="M303" s="43"/>
    </row>
    <row r="304" spans="9:13" ht="12.75" customHeight="1">
      <c r="I304" s="43"/>
      <c r="J304" s="43"/>
      <c r="K304" s="43"/>
      <c r="L304" s="43"/>
      <c r="M304" s="43"/>
    </row>
    <row r="305" spans="9:13" ht="12.75" customHeight="1">
      <c r="I305" s="43"/>
      <c r="J305" s="43"/>
      <c r="K305" s="43"/>
      <c r="L305" s="43"/>
      <c r="M305" s="43"/>
    </row>
    <row r="306" spans="9:13" ht="12.75" customHeight="1">
      <c r="I306" s="43"/>
      <c r="J306" s="43"/>
      <c r="K306" s="43"/>
      <c r="L306" s="43"/>
      <c r="M306" s="43"/>
    </row>
    <row r="307" spans="9:13" ht="12.75" customHeight="1">
      <c r="I307" s="43"/>
      <c r="J307" s="43"/>
      <c r="K307" s="43"/>
      <c r="L307" s="43"/>
      <c r="M307" s="43"/>
    </row>
    <row r="308" spans="9:13" ht="12.75" customHeight="1">
      <c r="I308" s="43"/>
      <c r="J308" s="43"/>
      <c r="K308" s="43"/>
      <c r="L308" s="43"/>
      <c r="M308" s="43"/>
    </row>
    <row r="309" spans="9:13" ht="12.75" customHeight="1">
      <c r="I309" s="43"/>
      <c r="J309" s="43"/>
      <c r="K309" s="43"/>
      <c r="L309" s="43"/>
      <c r="M309" s="43"/>
    </row>
    <row r="310" spans="9:13" ht="12.75" customHeight="1">
      <c r="I310" s="43"/>
      <c r="J310" s="43"/>
      <c r="K310" s="43"/>
      <c r="L310" s="43"/>
      <c r="M310" s="43"/>
    </row>
    <row r="311" spans="9:13" ht="12.75" customHeight="1">
      <c r="I311" s="43"/>
      <c r="J311" s="43"/>
      <c r="K311" s="43"/>
      <c r="L311" s="43"/>
      <c r="M311" s="43"/>
    </row>
    <row r="312" spans="9:13" ht="12.75" customHeight="1">
      <c r="I312" s="43"/>
      <c r="J312" s="43"/>
      <c r="K312" s="43"/>
      <c r="L312" s="43"/>
      <c r="M312" s="43"/>
    </row>
    <row r="313" spans="9:13" ht="12.75" customHeight="1">
      <c r="I313" s="43"/>
      <c r="J313" s="43"/>
      <c r="K313" s="43"/>
      <c r="L313" s="43"/>
      <c r="M313" s="43"/>
    </row>
    <row r="314" spans="9:13" ht="12.75" customHeight="1">
      <c r="I314" s="43"/>
      <c r="J314" s="43"/>
      <c r="K314" s="43"/>
      <c r="L314" s="43"/>
      <c r="M314" s="43"/>
    </row>
    <row r="315" spans="9:13" ht="12.75" customHeight="1">
      <c r="I315" s="43"/>
      <c r="J315" s="43"/>
      <c r="K315" s="43"/>
      <c r="L315" s="43"/>
      <c r="M315" s="43"/>
    </row>
    <row r="316" spans="9:13" ht="12.75" customHeight="1">
      <c r="I316" s="43"/>
      <c r="J316" s="43"/>
      <c r="K316" s="43"/>
      <c r="L316" s="43"/>
      <c r="M316" s="43"/>
    </row>
    <row r="317" spans="9:13" ht="12.75" customHeight="1">
      <c r="I317" s="43"/>
      <c r="J317" s="43"/>
      <c r="K317" s="43"/>
      <c r="L317" s="43"/>
      <c r="M317" s="43"/>
    </row>
    <row r="318" spans="9:13" ht="12.75" customHeight="1">
      <c r="I318" s="43"/>
      <c r="J318" s="43"/>
      <c r="K318" s="43"/>
      <c r="L318" s="43"/>
      <c r="M318" s="43"/>
    </row>
    <row r="319" spans="9:13" ht="12.75" customHeight="1">
      <c r="I319" s="43"/>
      <c r="J319" s="43"/>
      <c r="K319" s="43"/>
      <c r="L319" s="43"/>
      <c r="M319" s="43"/>
    </row>
    <row r="320" spans="9:13" ht="12.75" customHeight="1">
      <c r="I320" s="43"/>
      <c r="J320" s="43"/>
      <c r="K320" s="43"/>
      <c r="L320" s="43"/>
      <c r="M320" s="43"/>
    </row>
    <row r="321" spans="9:13" ht="12.75" customHeight="1">
      <c r="I321" s="43"/>
      <c r="J321" s="43"/>
      <c r="K321" s="43"/>
      <c r="L321" s="43"/>
      <c r="M321" s="43"/>
    </row>
    <row r="322" spans="9:13" ht="12.75" customHeight="1">
      <c r="I322" s="43"/>
      <c r="J322" s="43"/>
      <c r="K322" s="43"/>
      <c r="L322" s="43"/>
      <c r="M322" s="43"/>
    </row>
    <row r="323" spans="9:13" ht="12.75" customHeight="1">
      <c r="I323" s="43"/>
      <c r="J323" s="43"/>
      <c r="K323" s="43"/>
      <c r="L323" s="43"/>
      <c r="M323" s="43"/>
    </row>
    <row r="324" spans="9:13" ht="12.75" customHeight="1">
      <c r="I324" s="43"/>
      <c r="J324" s="43"/>
      <c r="K324" s="43"/>
      <c r="L324" s="43"/>
      <c r="M324" s="43"/>
    </row>
    <row r="325" spans="9:13" ht="12.75" customHeight="1">
      <c r="I325" s="43"/>
      <c r="J325" s="43"/>
      <c r="K325" s="43"/>
      <c r="L325" s="43"/>
      <c r="M325" s="43"/>
    </row>
    <row r="326" spans="9:13" ht="12.75" customHeight="1">
      <c r="I326" s="43"/>
      <c r="J326" s="43"/>
      <c r="K326" s="43"/>
      <c r="L326" s="43"/>
      <c r="M326" s="43"/>
    </row>
    <row r="327" spans="9:13" ht="12.75" customHeight="1">
      <c r="I327" s="43"/>
      <c r="J327" s="43"/>
      <c r="K327" s="43"/>
      <c r="L327" s="43"/>
      <c r="M327" s="43"/>
    </row>
    <row r="328" spans="9:13" ht="12.75" customHeight="1">
      <c r="I328" s="43"/>
      <c r="J328" s="43"/>
      <c r="K328" s="43"/>
      <c r="L328" s="43"/>
      <c r="M328" s="43"/>
    </row>
    <row r="329" spans="9:13" ht="12.75" customHeight="1">
      <c r="I329" s="43"/>
      <c r="J329" s="43"/>
      <c r="K329" s="43"/>
      <c r="L329" s="43"/>
      <c r="M329" s="43"/>
    </row>
    <row r="330" spans="9:13" ht="12.75" customHeight="1">
      <c r="I330" s="43"/>
      <c r="J330" s="43"/>
      <c r="K330" s="43"/>
      <c r="L330" s="43"/>
      <c r="M330" s="43"/>
    </row>
    <row r="331" spans="9:13" ht="12.75" customHeight="1">
      <c r="I331" s="43"/>
      <c r="J331" s="43"/>
      <c r="K331" s="43"/>
      <c r="L331" s="43"/>
      <c r="M331" s="43"/>
    </row>
    <row r="332" spans="9:13" ht="12.75" customHeight="1">
      <c r="I332" s="43"/>
      <c r="J332" s="43"/>
      <c r="K332" s="43"/>
      <c r="L332" s="43"/>
      <c r="M332" s="43"/>
    </row>
    <row r="333" spans="9:13" ht="12.75" customHeight="1">
      <c r="I333" s="43"/>
      <c r="J333" s="43"/>
      <c r="K333" s="43"/>
      <c r="L333" s="43"/>
      <c r="M333" s="43"/>
    </row>
    <row r="334" spans="9:13" ht="12.75" customHeight="1">
      <c r="I334" s="43"/>
      <c r="J334" s="43"/>
      <c r="K334" s="43"/>
      <c r="L334" s="43"/>
      <c r="M334" s="43"/>
    </row>
    <row r="335" spans="9:13" ht="12.75" customHeight="1">
      <c r="I335" s="43"/>
      <c r="J335" s="43"/>
      <c r="K335" s="43"/>
      <c r="L335" s="43"/>
      <c r="M335" s="43"/>
    </row>
    <row r="336" spans="9:13" ht="12.75" customHeight="1">
      <c r="I336" s="43"/>
      <c r="J336" s="43"/>
      <c r="K336" s="43"/>
      <c r="L336" s="43"/>
      <c r="M336" s="43"/>
    </row>
    <row r="337" spans="9:13" ht="12.75" customHeight="1">
      <c r="I337" s="43"/>
      <c r="J337" s="43"/>
      <c r="K337" s="43"/>
      <c r="L337" s="43"/>
      <c r="M337" s="43"/>
    </row>
    <row r="338" spans="9:13" ht="12.75" customHeight="1">
      <c r="I338" s="43"/>
      <c r="J338" s="43"/>
      <c r="K338" s="43"/>
      <c r="L338" s="43"/>
      <c r="M338" s="43"/>
    </row>
    <row r="339" spans="9:13" ht="12.75" customHeight="1">
      <c r="I339" s="43"/>
      <c r="J339" s="43"/>
      <c r="K339" s="43"/>
      <c r="L339" s="43"/>
      <c r="M339" s="43"/>
    </row>
    <row r="340" spans="9:13" ht="12.75" customHeight="1">
      <c r="I340" s="43"/>
      <c r="J340" s="43"/>
      <c r="K340" s="43"/>
      <c r="L340" s="43"/>
      <c r="M340" s="43"/>
    </row>
    <row r="341" spans="9:13" ht="12.75" customHeight="1">
      <c r="I341" s="43"/>
      <c r="J341" s="43"/>
      <c r="K341" s="43"/>
      <c r="L341" s="43"/>
      <c r="M341" s="43"/>
    </row>
    <row r="342" spans="9:13" ht="12.75" customHeight="1">
      <c r="I342" s="43"/>
      <c r="J342" s="43"/>
      <c r="K342" s="43"/>
      <c r="L342" s="43"/>
      <c r="M342" s="43"/>
    </row>
    <row r="343" spans="9:13" ht="12.75" customHeight="1">
      <c r="I343" s="43"/>
      <c r="J343" s="43"/>
      <c r="K343" s="43"/>
      <c r="L343" s="43"/>
      <c r="M343" s="43"/>
    </row>
    <row r="344" spans="9:13" ht="12.75" customHeight="1">
      <c r="I344" s="43"/>
      <c r="J344" s="43"/>
      <c r="K344" s="43"/>
      <c r="L344" s="43"/>
      <c r="M344" s="43"/>
    </row>
    <row r="345" spans="9:13" ht="12.75" customHeight="1">
      <c r="I345" s="43"/>
      <c r="J345" s="43"/>
      <c r="K345" s="43"/>
      <c r="L345" s="43"/>
      <c r="M345" s="43"/>
    </row>
    <row r="346" spans="9:13" ht="12.75" customHeight="1">
      <c r="I346" s="43"/>
      <c r="J346" s="43"/>
      <c r="K346" s="43"/>
      <c r="L346" s="43"/>
      <c r="M346" s="43"/>
    </row>
    <row r="347" spans="9:13" ht="12.75" customHeight="1">
      <c r="I347" s="43"/>
      <c r="J347" s="43"/>
      <c r="K347" s="43"/>
      <c r="L347" s="43"/>
      <c r="M347" s="43"/>
    </row>
    <row r="348" spans="9:13" ht="12.75" customHeight="1">
      <c r="I348" s="43"/>
      <c r="J348" s="43"/>
      <c r="K348" s="43"/>
      <c r="L348" s="43"/>
      <c r="M348" s="43"/>
    </row>
    <row r="349" spans="9:13" ht="12.75" customHeight="1">
      <c r="I349" s="43"/>
      <c r="J349" s="43"/>
      <c r="K349" s="43"/>
      <c r="L349" s="43"/>
      <c r="M349" s="43"/>
    </row>
    <row r="350" spans="9:13" ht="12.75" customHeight="1">
      <c r="I350" s="43"/>
      <c r="J350" s="43"/>
      <c r="K350" s="43"/>
      <c r="L350" s="43"/>
      <c r="M350" s="43"/>
    </row>
    <row r="351" spans="9:13" ht="12.75" customHeight="1">
      <c r="I351" s="43"/>
      <c r="J351" s="43"/>
      <c r="K351" s="43"/>
      <c r="L351" s="43"/>
      <c r="M351" s="43"/>
    </row>
    <row r="352" spans="9:13" ht="12.75" customHeight="1">
      <c r="I352" s="43"/>
      <c r="J352" s="43"/>
      <c r="K352" s="43"/>
      <c r="L352" s="43"/>
      <c r="M352" s="43"/>
    </row>
    <row r="353" spans="9:13" ht="12.75" customHeight="1">
      <c r="I353" s="43"/>
      <c r="J353" s="43"/>
      <c r="K353" s="43"/>
      <c r="L353" s="43"/>
      <c r="M353" s="43"/>
    </row>
    <row r="354" spans="9:13" ht="12.75" customHeight="1">
      <c r="I354" s="43"/>
      <c r="J354" s="43"/>
      <c r="K354" s="43"/>
      <c r="L354" s="43"/>
      <c r="M354" s="43"/>
    </row>
    <row r="355" spans="9:13" ht="12.75" customHeight="1">
      <c r="I355" s="43"/>
      <c r="J355" s="43"/>
      <c r="K355" s="43"/>
      <c r="L355" s="43"/>
      <c r="M355" s="43"/>
    </row>
    <row r="356" spans="9:13" ht="12.75" customHeight="1">
      <c r="I356" s="43"/>
      <c r="J356" s="43"/>
      <c r="K356" s="43"/>
      <c r="L356" s="43"/>
      <c r="M356" s="43"/>
    </row>
    <row r="357" spans="9:13" ht="12.75" customHeight="1">
      <c r="I357" s="43"/>
      <c r="J357" s="43"/>
      <c r="K357" s="43"/>
      <c r="L357" s="43"/>
      <c r="M357" s="43"/>
    </row>
    <row r="358" spans="9:13" ht="12.75" customHeight="1">
      <c r="I358" s="43"/>
      <c r="J358" s="43"/>
      <c r="K358" s="43"/>
      <c r="L358" s="43"/>
      <c r="M358" s="43"/>
    </row>
    <row r="359" spans="9:13" ht="12.75" customHeight="1">
      <c r="I359" s="43"/>
      <c r="J359" s="43"/>
      <c r="K359" s="43"/>
      <c r="L359" s="43"/>
      <c r="M359" s="43"/>
    </row>
    <row r="360" spans="9:13" ht="12.75" customHeight="1">
      <c r="I360" s="43"/>
      <c r="J360" s="43"/>
      <c r="K360" s="43"/>
      <c r="L360" s="43"/>
      <c r="M360" s="43"/>
    </row>
    <row r="361" spans="9:13" ht="12.75" customHeight="1">
      <c r="I361" s="43"/>
      <c r="J361" s="43"/>
      <c r="K361" s="43"/>
      <c r="L361" s="43"/>
      <c r="M361" s="43"/>
    </row>
    <row r="362" spans="9:13" ht="12.75" customHeight="1">
      <c r="I362" s="43"/>
      <c r="J362" s="43"/>
      <c r="K362" s="43"/>
      <c r="L362" s="43"/>
      <c r="M362" s="43"/>
    </row>
    <row r="363" spans="9:13" ht="12.75" customHeight="1">
      <c r="I363" s="43"/>
      <c r="J363" s="43"/>
      <c r="K363" s="43"/>
      <c r="L363" s="43"/>
      <c r="M363" s="43"/>
    </row>
    <row r="364" spans="9:13" ht="12.75" customHeight="1">
      <c r="I364" s="43"/>
      <c r="J364" s="43"/>
      <c r="K364" s="43"/>
      <c r="L364" s="43"/>
      <c r="M364" s="43"/>
    </row>
    <row r="365" spans="9:13" ht="12.75" customHeight="1">
      <c r="I365" s="43"/>
      <c r="J365" s="43"/>
      <c r="K365" s="43"/>
      <c r="L365" s="43"/>
      <c r="M365" s="43"/>
    </row>
    <row r="366" spans="9:13" ht="12.75" customHeight="1">
      <c r="I366" s="43"/>
      <c r="J366" s="43"/>
      <c r="K366" s="43"/>
      <c r="L366" s="43"/>
      <c r="M366" s="43"/>
    </row>
    <row r="367" spans="9:13" ht="12.75" customHeight="1">
      <c r="I367" s="43"/>
      <c r="J367" s="43"/>
      <c r="K367" s="43"/>
      <c r="L367" s="43"/>
      <c r="M367" s="43"/>
    </row>
    <row r="368" spans="9:13" ht="12.75" customHeight="1">
      <c r="I368" s="43"/>
      <c r="J368" s="43"/>
      <c r="K368" s="43"/>
      <c r="L368" s="43"/>
      <c r="M368" s="43"/>
    </row>
    <row r="369" spans="9:13" ht="12.75" customHeight="1">
      <c r="I369" s="43"/>
      <c r="J369" s="43"/>
      <c r="K369" s="43"/>
      <c r="L369" s="43"/>
      <c r="M369" s="43"/>
    </row>
    <row r="370" spans="9:13" ht="12.75" customHeight="1">
      <c r="I370" s="43"/>
      <c r="J370" s="43"/>
      <c r="K370" s="43"/>
      <c r="L370" s="43"/>
      <c r="M370" s="43"/>
    </row>
    <row r="371" spans="9:13" ht="12.75" customHeight="1">
      <c r="I371" s="43"/>
      <c r="J371" s="43"/>
      <c r="K371" s="43"/>
      <c r="L371" s="43"/>
      <c r="M371" s="43"/>
    </row>
    <row r="372" spans="9:13" ht="12.75" customHeight="1">
      <c r="I372" s="43"/>
      <c r="J372" s="43"/>
      <c r="K372" s="43"/>
      <c r="L372" s="43"/>
      <c r="M372" s="43"/>
    </row>
    <row r="373" spans="9:13" ht="12.75" customHeight="1">
      <c r="I373" s="43"/>
      <c r="J373" s="43"/>
      <c r="K373" s="43"/>
      <c r="L373" s="43"/>
      <c r="M373" s="43"/>
    </row>
    <row r="374" spans="9:13" ht="12.75" customHeight="1">
      <c r="I374" s="43"/>
      <c r="J374" s="43"/>
      <c r="K374" s="43"/>
      <c r="L374" s="43"/>
      <c r="M374" s="43"/>
    </row>
    <row r="375" spans="9:13" ht="12.75" customHeight="1">
      <c r="I375" s="43"/>
      <c r="J375" s="43"/>
      <c r="K375" s="43"/>
      <c r="L375" s="43"/>
      <c r="M375" s="43"/>
    </row>
    <row r="376" spans="9:13" ht="12.75" customHeight="1">
      <c r="I376" s="43"/>
      <c r="J376" s="43"/>
      <c r="K376" s="43"/>
      <c r="L376" s="43"/>
      <c r="M376" s="43"/>
    </row>
    <row r="377" spans="9:13" ht="12.75" customHeight="1">
      <c r="I377" s="43"/>
      <c r="J377" s="43"/>
      <c r="K377" s="43"/>
      <c r="L377" s="43"/>
      <c r="M377" s="43"/>
    </row>
    <row r="378" spans="9:13" ht="12.75" customHeight="1">
      <c r="I378" s="43"/>
      <c r="J378" s="43"/>
      <c r="K378" s="43"/>
      <c r="L378" s="43"/>
      <c r="M378" s="43"/>
    </row>
    <row r="379" spans="9:13" ht="12.75" customHeight="1">
      <c r="I379" s="43"/>
      <c r="J379" s="43"/>
      <c r="K379" s="43"/>
      <c r="L379" s="43"/>
      <c r="M379" s="43"/>
    </row>
    <row r="380" spans="9:13" ht="12.75" customHeight="1">
      <c r="I380" s="43"/>
      <c r="J380" s="43"/>
      <c r="K380" s="43"/>
      <c r="L380" s="43"/>
      <c r="M380" s="43"/>
    </row>
    <row r="381" spans="9:13" ht="12.75" customHeight="1">
      <c r="I381" s="43"/>
      <c r="J381" s="43"/>
      <c r="K381" s="43"/>
      <c r="L381" s="43"/>
      <c r="M381" s="43"/>
    </row>
    <row r="382" spans="9:13" ht="12.75" customHeight="1">
      <c r="I382" s="43"/>
      <c r="J382" s="43"/>
      <c r="K382" s="43"/>
      <c r="L382" s="43"/>
      <c r="M382" s="43"/>
    </row>
    <row r="383" spans="9:13" ht="12.75" customHeight="1">
      <c r="I383" s="43"/>
      <c r="J383" s="43"/>
      <c r="K383" s="43"/>
      <c r="L383" s="43"/>
      <c r="M383" s="43"/>
    </row>
    <row r="384" spans="9:13" ht="12.75" customHeight="1">
      <c r="I384" s="43"/>
      <c r="J384" s="43"/>
      <c r="K384" s="43"/>
      <c r="L384" s="43"/>
      <c r="M384" s="43"/>
    </row>
    <row r="385" spans="9:13" ht="12.75" customHeight="1">
      <c r="I385" s="43"/>
      <c r="J385" s="43"/>
      <c r="K385" s="43"/>
      <c r="L385" s="43"/>
      <c r="M385" s="43"/>
    </row>
    <row r="386" spans="9:13" ht="12.75" customHeight="1">
      <c r="I386" s="43"/>
      <c r="J386" s="43"/>
      <c r="K386" s="43"/>
      <c r="L386" s="43"/>
      <c r="M386" s="43"/>
    </row>
    <row r="387" spans="9:13" ht="12.75" customHeight="1">
      <c r="I387" s="43"/>
      <c r="J387" s="43"/>
      <c r="K387" s="43"/>
      <c r="L387" s="43"/>
      <c r="M387" s="43"/>
    </row>
    <row r="388" spans="9:13" ht="12.75" customHeight="1">
      <c r="I388" s="43"/>
      <c r="J388" s="43"/>
      <c r="K388" s="43"/>
      <c r="L388" s="43"/>
      <c r="M388" s="43"/>
    </row>
    <row r="389" spans="9:13" ht="12.75" customHeight="1">
      <c r="I389" s="43"/>
      <c r="J389" s="43"/>
      <c r="K389" s="43"/>
      <c r="L389" s="43"/>
      <c r="M389" s="43"/>
    </row>
    <row r="390" spans="9:13" ht="12.75" customHeight="1">
      <c r="I390" s="43"/>
      <c r="J390" s="43"/>
      <c r="K390" s="43"/>
      <c r="L390" s="43"/>
      <c r="M390" s="43"/>
    </row>
    <row r="391" spans="9:13" ht="12.75" customHeight="1">
      <c r="I391" s="43"/>
      <c r="J391" s="43"/>
      <c r="K391" s="43"/>
      <c r="L391" s="43"/>
      <c r="M391" s="43"/>
    </row>
    <row r="392" spans="9:13" ht="12.75" customHeight="1">
      <c r="I392" s="43"/>
      <c r="J392" s="43"/>
      <c r="K392" s="43"/>
      <c r="L392" s="43"/>
      <c r="M392" s="43"/>
    </row>
    <row r="393" spans="9:13" ht="12.75" customHeight="1">
      <c r="I393" s="43"/>
      <c r="J393" s="43"/>
      <c r="K393" s="43"/>
      <c r="L393" s="43"/>
      <c r="M393" s="43"/>
    </row>
    <row r="394" spans="9:13" ht="12.75" customHeight="1">
      <c r="I394" s="43"/>
      <c r="J394" s="43"/>
      <c r="K394" s="43"/>
      <c r="L394" s="43"/>
      <c r="M394" s="43"/>
    </row>
    <row r="395" spans="9:13" ht="12.75" customHeight="1">
      <c r="I395" s="43"/>
      <c r="J395" s="43"/>
      <c r="K395" s="43"/>
      <c r="L395" s="43"/>
      <c r="M395" s="43"/>
    </row>
    <row r="396" spans="9:13" ht="12.75" customHeight="1">
      <c r="I396" s="43"/>
      <c r="J396" s="43"/>
      <c r="K396" s="43"/>
      <c r="L396" s="43"/>
      <c r="M396" s="43"/>
    </row>
    <row r="397" spans="9:13" ht="12.75" customHeight="1">
      <c r="I397" s="43"/>
      <c r="J397" s="43"/>
      <c r="K397" s="43"/>
      <c r="L397" s="43"/>
      <c r="M397" s="43"/>
    </row>
    <row r="398" spans="9:13" ht="12.75" customHeight="1">
      <c r="I398" s="43"/>
      <c r="J398" s="43"/>
      <c r="K398" s="43"/>
      <c r="L398" s="43"/>
      <c r="M398" s="43"/>
    </row>
  </sheetData>
  <mergeCells count="504">
    <mergeCell ref="A69:A70"/>
    <mergeCell ref="A71:A72"/>
    <mergeCell ref="A73:A74"/>
    <mergeCell ref="A75:A76"/>
    <mergeCell ref="A61:A62"/>
    <mergeCell ref="A63:A64"/>
    <mergeCell ref="A65:A66"/>
    <mergeCell ref="A67:A68"/>
    <mergeCell ref="A41:A42"/>
    <mergeCell ref="A43:A44"/>
    <mergeCell ref="A45:A46"/>
    <mergeCell ref="A47:A48"/>
    <mergeCell ref="A33:A34"/>
    <mergeCell ref="A35:A36"/>
    <mergeCell ref="A37:A38"/>
    <mergeCell ref="A39:A40"/>
    <mergeCell ref="A13:A14"/>
    <mergeCell ref="A15:A16"/>
    <mergeCell ref="A17:A18"/>
    <mergeCell ref="A19:A20"/>
    <mergeCell ref="A5:A6"/>
    <mergeCell ref="A7:A8"/>
    <mergeCell ref="A9:A10"/>
    <mergeCell ref="A11:A12"/>
    <mergeCell ref="H104:H105"/>
    <mergeCell ref="H106:H107"/>
    <mergeCell ref="H108:H109"/>
    <mergeCell ref="H110:H111"/>
    <mergeCell ref="G106:G107"/>
    <mergeCell ref="G108:G109"/>
    <mergeCell ref="G110:G111"/>
    <mergeCell ref="H90:H91"/>
    <mergeCell ref="H92:H93"/>
    <mergeCell ref="H94:H95"/>
    <mergeCell ref="H96:H97"/>
    <mergeCell ref="H98:H99"/>
    <mergeCell ref="H100:H101"/>
    <mergeCell ref="H102:H103"/>
    <mergeCell ref="G98:G99"/>
    <mergeCell ref="G100:G101"/>
    <mergeCell ref="G102:G103"/>
    <mergeCell ref="G104:G105"/>
    <mergeCell ref="G90:G91"/>
    <mergeCell ref="G92:G93"/>
    <mergeCell ref="G94:G95"/>
    <mergeCell ref="G96:G97"/>
    <mergeCell ref="F104:F105"/>
    <mergeCell ref="F106:F107"/>
    <mergeCell ref="F108:F109"/>
    <mergeCell ref="F110:F111"/>
    <mergeCell ref="E106:E107"/>
    <mergeCell ref="E108:E109"/>
    <mergeCell ref="E110:E111"/>
    <mergeCell ref="F90:F91"/>
    <mergeCell ref="F92:F93"/>
    <mergeCell ref="F94:F95"/>
    <mergeCell ref="F96:F97"/>
    <mergeCell ref="F98:F99"/>
    <mergeCell ref="F100:F101"/>
    <mergeCell ref="F102:F103"/>
    <mergeCell ref="E98:E99"/>
    <mergeCell ref="E100:E101"/>
    <mergeCell ref="E102:E103"/>
    <mergeCell ref="E104:E105"/>
    <mergeCell ref="E90:E91"/>
    <mergeCell ref="E92:E93"/>
    <mergeCell ref="E94:E95"/>
    <mergeCell ref="E96:E97"/>
    <mergeCell ref="D104:D105"/>
    <mergeCell ref="D106:D107"/>
    <mergeCell ref="D108:D109"/>
    <mergeCell ref="D110:D111"/>
    <mergeCell ref="B75:B76"/>
    <mergeCell ref="D98:D99"/>
    <mergeCell ref="D100:D101"/>
    <mergeCell ref="D102:D103"/>
    <mergeCell ref="D90:D91"/>
    <mergeCell ref="D92:D93"/>
    <mergeCell ref="D94:D95"/>
    <mergeCell ref="D96:D97"/>
    <mergeCell ref="C98:C99"/>
    <mergeCell ref="C100:C101"/>
    <mergeCell ref="B67:B68"/>
    <mergeCell ref="B69:B70"/>
    <mergeCell ref="B71:B72"/>
    <mergeCell ref="B73:B74"/>
    <mergeCell ref="C106:C107"/>
    <mergeCell ref="C108:C109"/>
    <mergeCell ref="C110:C111"/>
    <mergeCell ref="B41:B42"/>
    <mergeCell ref="B43:B44"/>
    <mergeCell ref="B45:B46"/>
    <mergeCell ref="B47:B48"/>
    <mergeCell ref="B61:B62"/>
    <mergeCell ref="B63:B64"/>
    <mergeCell ref="B65:B66"/>
    <mergeCell ref="C102:C103"/>
    <mergeCell ref="C104:C105"/>
    <mergeCell ref="C90:C91"/>
    <mergeCell ref="C92:C93"/>
    <mergeCell ref="C94:C95"/>
    <mergeCell ref="C96:C97"/>
    <mergeCell ref="B33:B34"/>
    <mergeCell ref="B35:B36"/>
    <mergeCell ref="B37:B38"/>
    <mergeCell ref="B39:B40"/>
    <mergeCell ref="L79:L80"/>
    <mergeCell ref="M79:M80"/>
    <mergeCell ref="C88:C89"/>
    <mergeCell ref="D88:D89"/>
    <mergeCell ref="E88:E89"/>
    <mergeCell ref="F88:F89"/>
    <mergeCell ref="G88:G89"/>
    <mergeCell ref="H88:H89"/>
    <mergeCell ref="N78:N79"/>
    <mergeCell ref="C79:C80"/>
    <mergeCell ref="D79:D80"/>
    <mergeCell ref="E79:E80"/>
    <mergeCell ref="F79:F80"/>
    <mergeCell ref="G79:G80"/>
    <mergeCell ref="H79:H80"/>
    <mergeCell ref="I79:I80"/>
    <mergeCell ref="J79:J80"/>
    <mergeCell ref="K79:K80"/>
    <mergeCell ref="J77:J78"/>
    <mergeCell ref="K77:K78"/>
    <mergeCell ref="L77:L78"/>
    <mergeCell ref="M77:M78"/>
    <mergeCell ref="L75:L76"/>
    <mergeCell ref="M75:M76"/>
    <mergeCell ref="N76:N77"/>
    <mergeCell ref="C77:C78"/>
    <mergeCell ref="D77:D78"/>
    <mergeCell ref="E77:E78"/>
    <mergeCell ref="F77:F78"/>
    <mergeCell ref="G77:G78"/>
    <mergeCell ref="H77:H78"/>
    <mergeCell ref="I77:I78"/>
    <mergeCell ref="N74:N75"/>
    <mergeCell ref="C75:C76"/>
    <mergeCell ref="D75:D76"/>
    <mergeCell ref="E75:E76"/>
    <mergeCell ref="F75:F76"/>
    <mergeCell ref="G75:G76"/>
    <mergeCell ref="H75:H76"/>
    <mergeCell ref="I75:I76"/>
    <mergeCell ref="J75:J76"/>
    <mergeCell ref="K75:K76"/>
    <mergeCell ref="J73:J74"/>
    <mergeCell ref="K73:K74"/>
    <mergeCell ref="L73:L74"/>
    <mergeCell ref="M73:M74"/>
    <mergeCell ref="L71:L72"/>
    <mergeCell ref="M71:M72"/>
    <mergeCell ref="N72:N73"/>
    <mergeCell ref="C73:C74"/>
    <mergeCell ref="D73:D74"/>
    <mergeCell ref="E73:E74"/>
    <mergeCell ref="F73:F74"/>
    <mergeCell ref="G73:G74"/>
    <mergeCell ref="H73:H74"/>
    <mergeCell ref="I73:I74"/>
    <mergeCell ref="N70:N71"/>
    <mergeCell ref="C71:C72"/>
    <mergeCell ref="D71:D72"/>
    <mergeCell ref="E71:E72"/>
    <mergeCell ref="F71:F72"/>
    <mergeCell ref="G71:G72"/>
    <mergeCell ref="H71:H72"/>
    <mergeCell ref="I71:I72"/>
    <mergeCell ref="J71:J72"/>
    <mergeCell ref="K71:K72"/>
    <mergeCell ref="J69:J70"/>
    <mergeCell ref="K69:K70"/>
    <mergeCell ref="L69:L70"/>
    <mergeCell ref="M69:M70"/>
    <mergeCell ref="L67:L68"/>
    <mergeCell ref="M67:M68"/>
    <mergeCell ref="N68:N69"/>
    <mergeCell ref="C69:C70"/>
    <mergeCell ref="D69:D70"/>
    <mergeCell ref="E69:E70"/>
    <mergeCell ref="F69:F70"/>
    <mergeCell ref="G69:G70"/>
    <mergeCell ref="H69:H70"/>
    <mergeCell ref="I69:I70"/>
    <mergeCell ref="N66:N67"/>
    <mergeCell ref="C67:C68"/>
    <mergeCell ref="D67:D68"/>
    <mergeCell ref="E67:E68"/>
    <mergeCell ref="F67:F68"/>
    <mergeCell ref="G67:G68"/>
    <mergeCell ref="H67:H68"/>
    <mergeCell ref="I67:I68"/>
    <mergeCell ref="J67:J68"/>
    <mergeCell ref="K67:K68"/>
    <mergeCell ref="J65:J66"/>
    <mergeCell ref="K65:K66"/>
    <mergeCell ref="L65:L66"/>
    <mergeCell ref="M65:M66"/>
    <mergeCell ref="L63:L64"/>
    <mergeCell ref="M63:M64"/>
    <mergeCell ref="N64:N65"/>
    <mergeCell ref="C65:C66"/>
    <mergeCell ref="D65:D66"/>
    <mergeCell ref="E65:E66"/>
    <mergeCell ref="F65:F66"/>
    <mergeCell ref="G65:G66"/>
    <mergeCell ref="H65:H66"/>
    <mergeCell ref="I65:I66"/>
    <mergeCell ref="N62:N63"/>
    <mergeCell ref="C63:C64"/>
    <mergeCell ref="D63:D64"/>
    <mergeCell ref="E63:E64"/>
    <mergeCell ref="F63:F64"/>
    <mergeCell ref="G63:G64"/>
    <mergeCell ref="H63:H64"/>
    <mergeCell ref="I63:I64"/>
    <mergeCell ref="J63:J64"/>
    <mergeCell ref="K63:K64"/>
    <mergeCell ref="J61:J62"/>
    <mergeCell ref="K61:K62"/>
    <mergeCell ref="L61:L62"/>
    <mergeCell ref="M61:M62"/>
    <mergeCell ref="K51:K52"/>
    <mergeCell ref="L51:L52"/>
    <mergeCell ref="M51:M52"/>
    <mergeCell ref="C61:C62"/>
    <mergeCell ref="D61:D62"/>
    <mergeCell ref="E61:E62"/>
    <mergeCell ref="F61:F62"/>
    <mergeCell ref="G61:G62"/>
    <mergeCell ref="H61:H62"/>
    <mergeCell ref="I61:I62"/>
    <mergeCell ref="M49:M50"/>
    <mergeCell ref="N50:N51"/>
    <mergeCell ref="C51:C52"/>
    <mergeCell ref="D51:D52"/>
    <mergeCell ref="E51:E52"/>
    <mergeCell ref="F51:F52"/>
    <mergeCell ref="G51:G52"/>
    <mergeCell ref="H51:H52"/>
    <mergeCell ref="I51:I52"/>
    <mergeCell ref="J51:J52"/>
    <mergeCell ref="G49:G50"/>
    <mergeCell ref="H49:H50"/>
    <mergeCell ref="I49:I50"/>
    <mergeCell ref="J49:J50"/>
    <mergeCell ref="C49:C50"/>
    <mergeCell ref="D49:D50"/>
    <mergeCell ref="E49:E50"/>
    <mergeCell ref="F49:F50"/>
    <mergeCell ref="G47:G48"/>
    <mergeCell ref="H47:H48"/>
    <mergeCell ref="I47:I48"/>
    <mergeCell ref="J47:J48"/>
    <mergeCell ref="C47:C48"/>
    <mergeCell ref="D47:D48"/>
    <mergeCell ref="E47:E48"/>
    <mergeCell ref="F47:F48"/>
    <mergeCell ref="K45:K46"/>
    <mergeCell ref="L45:L46"/>
    <mergeCell ref="M45:M46"/>
    <mergeCell ref="N46:N47"/>
    <mergeCell ref="K47:K48"/>
    <mergeCell ref="L47:L48"/>
    <mergeCell ref="M47:M48"/>
    <mergeCell ref="N48:N49"/>
    <mergeCell ref="K49:K50"/>
    <mergeCell ref="L49:L50"/>
    <mergeCell ref="M43:M44"/>
    <mergeCell ref="N44:N45"/>
    <mergeCell ref="C45:C46"/>
    <mergeCell ref="D45:D46"/>
    <mergeCell ref="E45:E46"/>
    <mergeCell ref="F45:F46"/>
    <mergeCell ref="G45:G46"/>
    <mergeCell ref="H45:H46"/>
    <mergeCell ref="I45:I46"/>
    <mergeCell ref="J45:J46"/>
    <mergeCell ref="G43:G44"/>
    <mergeCell ref="H43:H44"/>
    <mergeCell ref="I43:I44"/>
    <mergeCell ref="J43:J44"/>
    <mergeCell ref="C43:C44"/>
    <mergeCell ref="D43:D44"/>
    <mergeCell ref="E43:E44"/>
    <mergeCell ref="F43:F44"/>
    <mergeCell ref="G41:G42"/>
    <mergeCell ref="H41:H42"/>
    <mergeCell ref="I41:I42"/>
    <mergeCell ref="J41:J42"/>
    <mergeCell ref="C41:C42"/>
    <mergeCell ref="D41:D42"/>
    <mergeCell ref="E41:E42"/>
    <mergeCell ref="F41:F42"/>
    <mergeCell ref="K39:K40"/>
    <mergeCell ref="L39:L40"/>
    <mergeCell ref="M39:M40"/>
    <mergeCell ref="N40:N41"/>
    <mergeCell ref="K41:K42"/>
    <mergeCell ref="L41:L42"/>
    <mergeCell ref="M41:M42"/>
    <mergeCell ref="N42:N43"/>
    <mergeCell ref="K43:K44"/>
    <mergeCell ref="L43:L44"/>
    <mergeCell ref="M37:M38"/>
    <mergeCell ref="N38:N39"/>
    <mergeCell ref="C39:C40"/>
    <mergeCell ref="D39:D40"/>
    <mergeCell ref="E39:E40"/>
    <mergeCell ref="F39:F40"/>
    <mergeCell ref="G39:G40"/>
    <mergeCell ref="H39:H40"/>
    <mergeCell ref="I39:I40"/>
    <mergeCell ref="J39:J40"/>
    <mergeCell ref="G37:G38"/>
    <mergeCell ref="H37:H38"/>
    <mergeCell ref="I37:I38"/>
    <mergeCell ref="J37:J38"/>
    <mergeCell ref="C37:C38"/>
    <mergeCell ref="D37:D38"/>
    <mergeCell ref="E37:E38"/>
    <mergeCell ref="F37:F38"/>
    <mergeCell ref="G35:G36"/>
    <mergeCell ref="H35:H36"/>
    <mergeCell ref="I35:I36"/>
    <mergeCell ref="J35:J36"/>
    <mergeCell ref="C35:C36"/>
    <mergeCell ref="D35:D36"/>
    <mergeCell ref="E35:E36"/>
    <mergeCell ref="F35:F36"/>
    <mergeCell ref="K33:K34"/>
    <mergeCell ref="L33:L34"/>
    <mergeCell ref="M33:M34"/>
    <mergeCell ref="N34:N35"/>
    <mergeCell ref="K35:K36"/>
    <mergeCell ref="L35:L36"/>
    <mergeCell ref="M35:M36"/>
    <mergeCell ref="N36:N37"/>
    <mergeCell ref="K37:K38"/>
    <mergeCell ref="L37:L38"/>
    <mergeCell ref="G33:G34"/>
    <mergeCell ref="H33:H34"/>
    <mergeCell ref="I33:I34"/>
    <mergeCell ref="J33:J34"/>
    <mergeCell ref="C33:C34"/>
    <mergeCell ref="D33:D34"/>
    <mergeCell ref="E33:E34"/>
    <mergeCell ref="F33:F34"/>
    <mergeCell ref="L23:L24"/>
    <mergeCell ref="M23:M24"/>
    <mergeCell ref="N22:N23"/>
    <mergeCell ref="L21:L22"/>
    <mergeCell ref="N20:N21"/>
    <mergeCell ref="M19:M20"/>
    <mergeCell ref="M21:M22"/>
    <mergeCell ref="L19:L20"/>
    <mergeCell ref="C23:C24"/>
    <mergeCell ref="D23:D24"/>
    <mergeCell ref="E23:E24"/>
    <mergeCell ref="F23:F24"/>
    <mergeCell ref="G23:G24"/>
    <mergeCell ref="H23:H24"/>
    <mergeCell ref="I23:I24"/>
    <mergeCell ref="J23:J24"/>
    <mergeCell ref="I21:I22"/>
    <mergeCell ref="K23:K24"/>
    <mergeCell ref="J21:J22"/>
    <mergeCell ref="K19:K20"/>
    <mergeCell ref="K21:K22"/>
    <mergeCell ref="I19:I20"/>
    <mergeCell ref="J19:J20"/>
    <mergeCell ref="F21:F22"/>
    <mergeCell ref="G19:G20"/>
    <mergeCell ref="G21:G22"/>
    <mergeCell ref="H19:H20"/>
    <mergeCell ref="H21:H22"/>
    <mergeCell ref="C21:C22"/>
    <mergeCell ref="D19:D20"/>
    <mergeCell ref="D21:D22"/>
    <mergeCell ref="E19:E20"/>
    <mergeCell ref="E21:E22"/>
    <mergeCell ref="L17:L18"/>
    <mergeCell ref="K17:K18"/>
    <mergeCell ref="N14:N15"/>
    <mergeCell ref="N16:N17"/>
    <mergeCell ref="M13:M14"/>
    <mergeCell ref="M15:M16"/>
    <mergeCell ref="M17:M18"/>
    <mergeCell ref="N18:N19"/>
    <mergeCell ref="K13:K14"/>
    <mergeCell ref="K15:K16"/>
    <mergeCell ref="M5:M6"/>
    <mergeCell ref="M7:M8"/>
    <mergeCell ref="M9:M10"/>
    <mergeCell ref="M11:M12"/>
    <mergeCell ref="L9:L10"/>
    <mergeCell ref="L11:L12"/>
    <mergeCell ref="L13:L14"/>
    <mergeCell ref="L15:L16"/>
    <mergeCell ref="N6:N7"/>
    <mergeCell ref="L7:L8"/>
    <mergeCell ref="N8:N9"/>
    <mergeCell ref="K5:K6"/>
    <mergeCell ref="K7:K8"/>
    <mergeCell ref="L5:L6"/>
    <mergeCell ref="K9:K10"/>
    <mergeCell ref="N10:N11"/>
    <mergeCell ref="K11:K12"/>
    <mergeCell ref="N12:N13"/>
    <mergeCell ref="I17:I18"/>
    <mergeCell ref="J15:J16"/>
    <mergeCell ref="J17:J18"/>
    <mergeCell ref="G15:G16"/>
    <mergeCell ref="G17:G18"/>
    <mergeCell ref="H15:H16"/>
    <mergeCell ref="H17:H18"/>
    <mergeCell ref="I15:I16"/>
    <mergeCell ref="E15:E16"/>
    <mergeCell ref="E17:E18"/>
    <mergeCell ref="F15:F16"/>
    <mergeCell ref="F17:F18"/>
    <mergeCell ref="C15:C16"/>
    <mergeCell ref="C17:C18"/>
    <mergeCell ref="D15:D16"/>
    <mergeCell ref="D17:D18"/>
    <mergeCell ref="I13:I14"/>
    <mergeCell ref="J5:J6"/>
    <mergeCell ref="J7:J8"/>
    <mergeCell ref="J9:J10"/>
    <mergeCell ref="J11:J12"/>
    <mergeCell ref="J13:J14"/>
    <mergeCell ref="I5:I6"/>
    <mergeCell ref="I7:I8"/>
    <mergeCell ref="I9:I10"/>
    <mergeCell ref="I11:I12"/>
    <mergeCell ref="G13:G14"/>
    <mergeCell ref="H5:H6"/>
    <mergeCell ref="H7:H8"/>
    <mergeCell ref="H9:H10"/>
    <mergeCell ref="H11:H12"/>
    <mergeCell ref="H13:H14"/>
    <mergeCell ref="G5:G6"/>
    <mergeCell ref="G7:G8"/>
    <mergeCell ref="G9:G10"/>
    <mergeCell ref="G11:G12"/>
    <mergeCell ref="E13:E14"/>
    <mergeCell ref="F5:F6"/>
    <mergeCell ref="F7:F8"/>
    <mergeCell ref="F9:F10"/>
    <mergeCell ref="F11:F12"/>
    <mergeCell ref="F13:F14"/>
    <mergeCell ref="E5:E6"/>
    <mergeCell ref="E7:E8"/>
    <mergeCell ref="E9:E10"/>
    <mergeCell ref="E11:E12"/>
    <mergeCell ref="C13:C14"/>
    <mergeCell ref="D5:D6"/>
    <mergeCell ref="D7:D8"/>
    <mergeCell ref="D9:D10"/>
    <mergeCell ref="D11:D12"/>
    <mergeCell ref="D13:D14"/>
    <mergeCell ref="C5:C6"/>
    <mergeCell ref="C7:C8"/>
    <mergeCell ref="C9:C10"/>
    <mergeCell ref="C11:C12"/>
    <mergeCell ref="O6:O7"/>
    <mergeCell ref="O8:O9"/>
    <mergeCell ref="O10:O11"/>
    <mergeCell ref="O12:O13"/>
    <mergeCell ref="O14:O15"/>
    <mergeCell ref="O16:O17"/>
    <mergeCell ref="O18:O19"/>
    <mergeCell ref="O34:O35"/>
    <mergeCell ref="O72:O73"/>
    <mergeCell ref="O44:O45"/>
    <mergeCell ref="O46:O47"/>
    <mergeCell ref="O62:O63"/>
    <mergeCell ref="O64:O65"/>
    <mergeCell ref="B19:B20"/>
    <mergeCell ref="O66:O67"/>
    <mergeCell ref="O68:O69"/>
    <mergeCell ref="O70:O71"/>
    <mergeCell ref="O36:O37"/>
    <mergeCell ref="O38:O39"/>
    <mergeCell ref="O40:O41"/>
    <mergeCell ref="O42:O43"/>
    <mergeCell ref="C19:C20"/>
    <mergeCell ref="F19:F20"/>
    <mergeCell ref="A117:B117"/>
    <mergeCell ref="O74:O75"/>
    <mergeCell ref="C85:H85"/>
    <mergeCell ref="B5:B6"/>
    <mergeCell ref="B7:B8"/>
    <mergeCell ref="B9:B10"/>
    <mergeCell ref="B11:B12"/>
    <mergeCell ref="B13:B14"/>
    <mergeCell ref="B15:B16"/>
    <mergeCell ref="B17:B18"/>
    <mergeCell ref="A113:H113"/>
    <mergeCell ref="A114:B114"/>
    <mergeCell ref="A115:B115"/>
    <mergeCell ref="A116:B116"/>
  </mergeCells>
  <printOptions/>
  <pageMargins left="0.75" right="0.75" top="1" bottom="1" header="0" footer="0"/>
  <pageSetup fitToHeight="1" fitToWidth="1" horizontalDpi="300" verticalDpi="300" orientation="portrait" paperSize="9" scale="42"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79"/>
  <sheetViews>
    <sheetView workbookViewId="0" topLeftCell="A1">
      <selection activeCell="E1" sqref="E1"/>
    </sheetView>
  </sheetViews>
  <sheetFormatPr defaultColWidth="9.140625" defaultRowHeight="12.75"/>
  <cols>
    <col min="1" max="1" width="9.28125" style="0" customWidth="1"/>
    <col min="2" max="2" width="24.8515625" style="0" customWidth="1"/>
    <col min="3" max="3" width="20.7109375" style="0" customWidth="1"/>
    <col min="4" max="4" width="28.28125" style="0" customWidth="1"/>
    <col min="5" max="5" width="27.7109375" style="0" customWidth="1"/>
    <col min="6" max="6" width="28.28125" style="0" customWidth="1"/>
    <col min="7" max="7" width="24.7109375" style="0" hidden="1" customWidth="1"/>
    <col min="8" max="8" width="24.8515625" style="0" customWidth="1"/>
    <col min="9" max="9" width="24.140625" style="0" customWidth="1"/>
  </cols>
  <sheetData>
    <row r="1" spans="1:3" ht="18">
      <c r="A1" s="405" t="s">
        <v>159</v>
      </c>
      <c r="B1" s="406"/>
      <c r="C1" s="406"/>
    </row>
    <row r="2" spans="1:9" ht="18">
      <c r="A2" s="100" t="s">
        <v>160</v>
      </c>
      <c r="B2" s="202"/>
      <c r="C2" s="203">
        <v>6000000</v>
      </c>
      <c r="D2" s="205">
        <v>0.975</v>
      </c>
      <c r="E2" s="204" t="s">
        <v>166</v>
      </c>
      <c r="F2" s="204">
        <f>C2*D2</f>
        <v>5850000</v>
      </c>
      <c r="G2" s="204">
        <f>C2*F2</f>
        <v>35100000000000</v>
      </c>
      <c r="H2" s="204"/>
      <c r="I2" s="204"/>
    </row>
    <row r="3" spans="1:9" ht="18">
      <c r="A3" s="100"/>
      <c r="B3" s="202"/>
      <c r="C3" s="203" t="s">
        <v>161</v>
      </c>
      <c r="D3" s="204" t="s">
        <v>165</v>
      </c>
      <c r="E3" s="204" t="s">
        <v>164</v>
      </c>
      <c r="F3" s="204" t="s">
        <v>139</v>
      </c>
      <c r="G3" s="204" t="s">
        <v>162</v>
      </c>
      <c r="H3" s="204" t="s">
        <v>138</v>
      </c>
      <c r="I3" s="204" t="s">
        <v>167</v>
      </c>
    </row>
    <row r="4" spans="1:9" ht="18">
      <c r="A4" s="100" t="s">
        <v>163</v>
      </c>
      <c r="B4" s="202">
        <v>1</v>
      </c>
      <c r="C4" s="203"/>
      <c r="D4" s="204">
        <v>6.5</v>
      </c>
      <c r="E4" s="204">
        <f>D4/2</f>
        <v>3.25</v>
      </c>
      <c r="F4" s="204">
        <f aca="true" t="shared" si="0" ref="F4:F10">I4*E4/100</f>
        <v>195000</v>
      </c>
      <c r="G4" s="204"/>
      <c r="H4" s="204">
        <f>F4+C4</f>
        <v>195000</v>
      </c>
      <c r="I4" s="204">
        <f>C2-C4</f>
        <v>6000000</v>
      </c>
    </row>
    <row r="5" spans="1:9" ht="18">
      <c r="A5" s="100" t="s">
        <v>163</v>
      </c>
      <c r="B5" s="202">
        <v>2</v>
      </c>
      <c r="C5" s="203"/>
      <c r="D5" s="204">
        <v>6.5</v>
      </c>
      <c r="E5" s="204">
        <f>D5/2</f>
        <v>3.25</v>
      </c>
      <c r="F5" s="204">
        <f t="shared" si="0"/>
        <v>195000</v>
      </c>
      <c r="G5" s="204"/>
      <c r="H5" s="204">
        <f aca="true" t="shared" si="1" ref="H5:H11">F5+C5</f>
        <v>195000</v>
      </c>
      <c r="I5" s="204">
        <f>I4-C5</f>
        <v>6000000</v>
      </c>
    </row>
    <row r="6" spans="1:9" ht="18">
      <c r="A6" s="100" t="s">
        <v>163</v>
      </c>
      <c r="B6" s="202">
        <v>3</v>
      </c>
      <c r="C6" s="203">
        <f aca="true" t="shared" si="2" ref="C6:C11">$C$2/6</f>
        <v>1000000</v>
      </c>
      <c r="D6" s="204">
        <v>6</v>
      </c>
      <c r="E6" s="204">
        <f aca="true" t="shared" si="3" ref="E6:E11">D6/2</f>
        <v>3</v>
      </c>
      <c r="F6" s="204">
        <f t="shared" si="0"/>
        <v>180000</v>
      </c>
      <c r="G6" s="204"/>
      <c r="H6" s="204">
        <f t="shared" si="1"/>
        <v>1180000</v>
      </c>
      <c r="I6" s="204">
        <f>I5</f>
        <v>6000000</v>
      </c>
    </row>
    <row r="7" spans="1:9" ht="18">
      <c r="A7" s="100" t="s">
        <v>163</v>
      </c>
      <c r="B7" s="202">
        <v>4</v>
      </c>
      <c r="C7" s="203">
        <f t="shared" si="2"/>
        <v>1000000</v>
      </c>
      <c r="D7" s="204">
        <v>6</v>
      </c>
      <c r="E7" s="204">
        <f t="shared" si="3"/>
        <v>3</v>
      </c>
      <c r="F7" s="204">
        <f t="shared" si="0"/>
        <v>150000</v>
      </c>
      <c r="G7" s="204"/>
      <c r="H7" s="204">
        <f t="shared" si="1"/>
        <v>1150000</v>
      </c>
      <c r="I7" s="204">
        <f>I6-C7</f>
        <v>5000000</v>
      </c>
    </row>
    <row r="8" spans="1:9" ht="18">
      <c r="A8" s="100" t="s">
        <v>163</v>
      </c>
      <c r="B8" s="202">
        <v>5</v>
      </c>
      <c r="C8" s="203">
        <f t="shared" si="2"/>
        <v>1000000</v>
      </c>
      <c r="D8" s="204">
        <v>5.5</v>
      </c>
      <c r="E8" s="204">
        <f t="shared" si="3"/>
        <v>2.75</v>
      </c>
      <c r="F8" s="204">
        <f t="shared" si="0"/>
        <v>110000</v>
      </c>
      <c r="G8" s="204"/>
      <c r="H8" s="204">
        <f t="shared" si="1"/>
        <v>1110000</v>
      </c>
      <c r="I8" s="204">
        <f>I7-C8</f>
        <v>4000000</v>
      </c>
    </row>
    <row r="9" spans="1:9" ht="18">
      <c r="A9" s="100" t="s">
        <v>163</v>
      </c>
      <c r="B9" s="202">
        <v>6</v>
      </c>
      <c r="C9" s="203">
        <f t="shared" si="2"/>
        <v>1000000</v>
      </c>
      <c r="D9" s="204">
        <v>5.5</v>
      </c>
      <c r="E9" s="204">
        <f t="shared" si="3"/>
        <v>2.75</v>
      </c>
      <c r="F9" s="204">
        <f t="shared" si="0"/>
        <v>82500</v>
      </c>
      <c r="G9" s="204"/>
      <c r="H9" s="204">
        <f t="shared" si="1"/>
        <v>1082500</v>
      </c>
      <c r="I9" s="204">
        <f>I8-C9</f>
        <v>3000000</v>
      </c>
    </row>
    <row r="10" spans="1:9" ht="18">
      <c r="A10" s="100" t="s">
        <v>163</v>
      </c>
      <c r="B10" s="202">
        <v>7</v>
      </c>
      <c r="C10" s="203">
        <f t="shared" si="2"/>
        <v>1000000</v>
      </c>
      <c r="D10" s="204">
        <v>6</v>
      </c>
      <c r="E10" s="204">
        <f t="shared" si="3"/>
        <v>3</v>
      </c>
      <c r="F10" s="204">
        <f t="shared" si="0"/>
        <v>60000</v>
      </c>
      <c r="G10" s="204"/>
      <c r="H10" s="204">
        <f t="shared" si="1"/>
        <v>1060000</v>
      </c>
      <c r="I10" s="204">
        <f>I9-C10</f>
        <v>2000000</v>
      </c>
    </row>
    <row r="11" spans="1:9" ht="18">
      <c r="A11" s="100" t="s">
        <v>163</v>
      </c>
      <c r="B11" s="202">
        <v>8</v>
      </c>
      <c r="C11" s="203">
        <f t="shared" si="2"/>
        <v>1000000</v>
      </c>
      <c r="D11" s="204">
        <v>6</v>
      </c>
      <c r="E11" s="204">
        <f t="shared" si="3"/>
        <v>3</v>
      </c>
      <c r="F11" s="204">
        <f>I11*E11/100</f>
        <v>30000</v>
      </c>
      <c r="G11" s="204"/>
      <c r="H11" s="204">
        <f t="shared" si="1"/>
        <v>1030000</v>
      </c>
      <c r="I11" s="204">
        <f>I10-C11</f>
        <v>1000000</v>
      </c>
    </row>
    <row r="12" spans="1:9" ht="18">
      <c r="A12" s="100"/>
      <c r="B12" s="202"/>
      <c r="C12" s="202"/>
      <c r="D12" s="133"/>
      <c r="E12" s="133"/>
      <c r="F12" s="133"/>
      <c r="G12" s="133"/>
      <c r="H12" s="133"/>
      <c r="I12" s="133"/>
    </row>
    <row r="13" spans="1:9" ht="18">
      <c r="A13" s="100"/>
      <c r="B13" s="202"/>
      <c r="C13" s="202"/>
      <c r="D13" s="133"/>
      <c r="E13" s="133"/>
      <c r="F13" s="133"/>
      <c r="G13" s="133"/>
      <c r="H13" s="133"/>
      <c r="I13" s="133"/>
    </row>
    <row r="14" spans="1:9" ht="18">
      <c r="A14" s="2"/>
      <c r="B14" s="133"/>
      <c r="C14" s="133"/>
      <c r="D14" s="133"/>
      <c r="E14" s="133"/>
      <c r="F14" s="133"/>
      <c r="G14" s="133"/>
      <c r="H14" s="133"/>
      <c r="I14" s="133"/>
    </row>
    <row r="15" spans="1:2" ht="15.75">
      <c r="A15" s="9" t="s">
        <v>91</v>
      </c>
      <c r="B15" s="103">
        <v>8</v>
      </c>
    </row>
    <row r="16" spans="1:2" ht="16.5" thickBot="1">
      <c r="A16" s="9" t="s">
        <v>92</v>
      </c>
      <c r="B16" s="104">
        <v>0.1</v>
      </c>
    </row>
    <row r="17" spans="1:9" ht="64.5" customHeight="1" thickBot="1">
      <c r="A17" s="105" t="s">
        <v>93</v>
      </c>
      <c r="B17" s="106" t="s">
        <v>94</v>
      </c>
      <c r="C17" s="107" t="s">
        <v>95</v>
      </c>
      <c r="D17" s="105" t="s">
        <v>96</v>
      </c>
      <c r="E17" s="108" t="s">
        <v>104</v>
      </c>
      <c r="F17" s="105" t="s">
        <v>105</v>
      </c>
      <c r="G17" s="105" t="s">
        <v>106</v>
      </c>
      <c r="H17" s="108" t="str">
        <f>CONCATENATE("Nutidsværdien ved den interne rente (IRR) ",(ROUND(F71,4)*100)," %")</f>
        <v>Nutidsværdien ved den interne rente (IRR) 3,56 %</v>
      </c>
      <c r="I17" s="108" t="s">
        <v>107</v>
      </c>
    </row>
    <row r="18" spans="1:9" ht="18">
      <c r="A18" s="109">
        <v>0</v>
      </c>
      <c r="B18" s="110">
        <v>0</v>
      </c>
      <c r="C18" s="111">
        <f>F2</f>
        <v>5850000</v>
      </c>
      <c r="D18" s="112">
        <f>B18-C18</f>
        <v>-5850000</v>
      </c>
      <c r="E18" s="113">
        <f aca="true" t="shared" si="4" ref="E18:E49">IF(A18&lt;=$B$15,POWER((1+$B$16),(A18*-1)),"-")</f>
        <v>1</v>
      </c>
      <c r="F18" s="114">
        <f>D18</f>
        <v>-5850000</v>
      </c>
      <c r="G18" s="113">
        <f aca="true" t="shared" si="5" ref="G18:G49">IF(A18&lt;=$B$15,POWER((1+$F$71),(A18*-1)),"-")</f>
        <v>1</v>
      </c>
      <c r="H18" s="114">
        <f>F18</f>
        <v>-5850000</v>
      </c>
      <c r="I18" s="109"/>
    </row>
    <row r="19" spans="1:9" ht="18">
      <c r="A19" s="115">
        <f aca="true" t="shared" si="6" ref="A19:A50">A18+1</f>
        <v>1</v>
      </c>
      <c r="B19" s="116">
        <f>H4</f>
        <v>195000</v>
      </c>
      <c r="C19" s="117">
        <v>0</v>
      </c>
      <c r="D19" s="118">
        <f>B19-C19</f>
        <v>195000</v>
      </c>
      <c r="E19" s="119">
        <f t="shared" si="4"/>
        <v>0.9090909090909091</v>
      </c>
      <c r="F19" s="120">
        <f aca="true" t="shared" si="7" ref="F19:F50">PV($B$16,A19,0,D19)*-1</f>
        <v>177272.72727272726</v>
      </c>
      <c r="G19" s="119">
        <f t="shared" si="5"/>
        <v>0.9656173306582487</v>
      </c>
      <c r="H19" s="120">
        <f aca="true" t="shared" si="8" ref="H19:H50">PV($F$71,A19,0,D19)*-1</f>
        <v>188295.37947835852</v>
      </c>
      <c r="I19" s="120">
        <f>PMT($B$16,$B$15,$F$69)*-1</f>
        <v>-283947.20904972847</v>
      </c>
    </row>
    <row r="20" spans="1:9" ht="18">
      <c r="A20" s="115">
        <f t="shared" si="6"/>
        <v>2</v>
      </c>
      <c r="B20" s="116">
        <f aca="true" t="shared" si="9" ref="B20:B26">H5</f>
        <v>195000</v>
      </c>
      <c r="C20" s="117">
        <v>0</v>
      </c>
      <c r="D20" s="118">
        <f>B20-C20</f>
        <v>195000</v>
      </c>
      <c r="E20" s="119">
        <f t="shared" si="4"/>
        <v>0.8264462809917354</v>
      </c>
      <c r="F20" s="120">
        <f t="shared" si="7"/>
        <v>161157.0247933884</v>
      </c>
      <c r="G20" s="119">
        <f t="shared" si="5"/>
        <v>0.9324168292675616</v>
      </c>
      <c r="H20" s="120">
        <f t="shared" si="8"/>
        <v>181821.28170717452</v>
      </c>
      <c r="I20" s="120">
        <f aca="true" t="shared" si="10" ref="I20:I25">IF(A20&lt;=$B$15,$I$19,0)</f>
        <v>-283947.20904972847</v>
      </c>
    </row>
    <row r="21" spans="1:9" ht="18">
      <c r="A21" s="115">
        <f t="shared" si="6"/>
        <v>3</v>
      </c>
      <c r="B21" s="116">
        <f t="shared" si="9"/>
        <v>1180000</v>
      </c>
      <c r="C21" s="117">
        <v>0</v>
      </c>
      <c r="D21" s="118">
        <f>B21-C21</f>
        <v>1180000</v>
      </c>
      <c r="E21" s="119">
        <f t="shared" si="4"/>
        <v>0.7513148009015775</v>
      </c>
      <c r="F21" s="120">
        <f t="shared" si="7"/>
        <v>886551.4650638615</v>
      </c>
      <c r="G21" s="119">
        <f t="shared" si="5"/>
        <v>0.900357849738171</v>
      </c>
      <c r="H21" s="120">
        <f t="shared" si="8"/>
        <v>1062422.2626910417</v>
      </c>
      <c r="I21" s="120">
        <f t="shared" si="10"/>
        <v>-283947.20904972847</v>
      </c>
    </row>
    <row r="22" spans="1:9" ht="18">
      <c r="A22" s="115">
        <f t="shared" si="6"/>
        <v>4</v>
      </c>
      <c r="B22" s="116">
        <f t="shared" si="9"/>
        <v>1150000</v>
      </c>
      <c r="C22" s="117">
        <v>0</v>
      </c>
      <c r="D22" s="118">
        <f>B22-C22</f>
        <v>1150000</v>
      </c>
      <c r="E22" s="119">
        <f t="shared" si="4"/>
        <v>0.6830134553650705</v>
      </c>
      <c r="F22" s="120">
        <f t="shared" si="7"/>
        <v>785465.4736698311</v>
      </c>
      <c r="G22" s="119">
        <f t="shared" si="5"/>
        <v>0.8694011435013732</v>
      </c>
      <c r="H22" s="120">
        <f t="shared" si="8"/>
        <v>999811.3150265792</v>
      </c>
      <c r="I22" s="120">
        <f t="shared" si="10"/>
        <v>-283947.20904972847</v>
      </c>
    </row>
    <row r="23" spans="1:9" ht="18">
      <c r="A23" s="115">
        <f t="shared" si="6"/>
        <v>5</v>
      </c>
      <c r="B23" s="116">
        <f t="shared" si="9"/>
        <v>1110000</v>
      </c>
      <c r="C23" s="117">
        <v>0</v>
      </c>
      <c r="D23" s="118">
        <f>(B23-C23)</f>
        <v>1110000</v>
      </c>
      <c r="E23" s="119">
        <f t="shared" si="4"/>
        <v>0.6209213230591549</v>
      </c>
      <c r="F23" s="120">
        <f t="shared" si="7"/>
        <v>689222.668595662</v>
      </c>
      <c r="G23" s="119">
        <f t="shared" si="5"/>
        <v>0.8395088114590251</v>
      </c>
      <c r="H23" s="120">
        <f t="shared" si="8"/>
        <v>931854.7807195178</v>
      </c>
      <c r="I23" s="120">
        <f t="shared" si="10"/>
        <v>-283947.20904972847</v>
      </c>
    </row>
    <row r="24" spans="1:9" ht="18">
      <c r="A24" s="115">
        <f t="shared" si="6"/>
        <v>6</v>
      </c>
      <c r="B24" s="116">
        <f t="shared" si="9"/>
        <v>1082500</v>
      </c>
      <c r="C24" s="117">
        <v>0</v>
      </c>
      <c r="D24" s="118">
        <f aca="true" t="shared" si="11" ref="D24:D68">B24-C24</f>
        <v>1082500</v>
      </c>
      <c r="E24" s="119">
        <f t="shared" si="4"/>
        <v>0.5644739300537772</v>
      </c>
      <c r="F24" s="120">
        <f t="shared" si="7"/>
        <v>611043.0292832138</v>
      </c>
      <c r="G24" s="119">
        <f t="shared" si="5"/>
        <v>0.8106442575851427</v>
      </c>
      <c r="H24" s="120">
        <f t="shared" si="8"/>
        <v>877522.408835917</v>
      </c>
      <c r="I24" s="120">
        <f t="shared" si="10"/>
        <v>-283947.20904972847</v>
      </c>
    </row>
    <row r="25" spans="1:9" ht="18">
      <c r="A25" s="115">
        <f t="shared" si="6"/>
        <v>7</v>
      </c>
      <c r="B25" s="116">
        <f t="shared" si="9"/>
        <v>1060000</v>
      </c>
      <c r="C25" s="117">
        <v>0</v>
      </c>
      <c r="D25" s="118">
        <f t="shared" si="11"/>
        <v>1060000</v>
      </c>
      <c r="E25" s="119">
        <f t="shared" si="4"/>
        <v>0.5131581182307065</v>
      </c>
      <c r="F25" s="120">
        <f t="shared" si="7"/>
        <v>543947.6053245488</v>
      </c>
      <c r="G25" s="119">
        <f t="shared" si="5"/>
        <v>0.7827721441228035</v>
      </c>
      <c r="H25" s="120">
        <f t="shared" si="8"/>
        <v>829738.4727701717</v>
      </c>
      <c r="I25" s="120">
        <f t="shared" si="10"/>
        <v>-283947.20904972847</v>
      </c>
    </row>
    <row r="26" spans="1:11" ht="18.75" thickBot="1">
      <c r="A26" s="122">
        <f t="shared" si="6"/>
        <v>8</v>
      </c>
      <c r="B26" s="123">
        <f t="shared" si="9"/>
        <v>1030000</v>
      </c>
      <c r="C26" s="124">
        <v>0</v>
      </c>
      <c r="D26" s="125">
        <f t="shared" si="11"/>
        <v>1030000</v>
      </c>
      <c r="E26" s="126">
        <f t="shared" si="4"/>
        <v>0.46650738020973315</v>
      </c>
      <c r="F26" s="127">
        <f t="shared" si="7"/>
        <v>480502.60161602515</v>
      </c>
      <c r="G26" s="126">
        <f t="shared" si="5"/>
        <v>0.7558583483214955</v>
      </c>
      <c r="H26" s="127">
        <f t="shared" si="8"/>
        <v>778534.0987711403</v>
      </c>
      <c r="I26" s="127">
        <f aca="true" t="shared" si="12" ref="I26:I68">IF(A25&lt;=$B$15,$I$19,0)</f>
        <v>-283947.20904972847</v>
      </c>
      <c r="K26" s="121"/>
    </row>
    <row r="27" spans="1:9" ht="18" hidden="1">
      <c r="A27" s="115">
        <f t="shared" si="6"/>
        <v>9</v>
      </c>
      <c r="B27" s="116">
        <v>0</v>
      </c>
      <c r="C27" s="117">
        <v>0</v>
      </c>
      <c r="D27" s="118">
        <f t="shared" si="11"/>
        <v>0</v>
      </c>
      <c r="E27" s="119" t="str">
        <f t="shared" si="4"/>
        <v>-</v>
      </c>
      <c r="F27" s="120">
        <f t="shared" si="7"/>
        <v>0</v>
      </c>
      <c r="G27" s="119" t="str">
        <f t="shared" si="5"/>
        <v>-</v>
      </c>
      <c r="H27" s="120">
        <f t="shared" si="8"/>
        <v>0</v>
      </c>
      <c r="I27" s="120">
        <f t="shared" si="12"/>
        <v>-283947.20904972847</v>
      </c>
    </row>
    <row r="28" spans="1:9" ht="18" hidden="1">
      <c r="A28" s="115">
        <f t="shared" si="6"/>
        <v>10</v>
      </c>
      <c r="B28" s="116">
        <v>0</v>
      </c>
      <c r="C28" s="117">
        <v>0</v>
      </c>
      <c r="D28" s="118">
        <f t="shared" si="11"/>
        <v>0</v>
      </c>
      <c r="E28" s="119" t="str">
        <f t="shared" si="4"/>
        <v>-</v>
      </c>
      <c r="F28" s="120">
        <f t="shared" si="7"/>
        <v>0</v>
      </c>
      <c r="G28" s="119" t="str">
        <f t="shared" si="5"/>
        <v>-</v>
      </c>
      <c r="H28" s="120">
        <f t="shared" si="8"/>
        <v>0</v>
      </c>
      <c r="I28" s="120">
        <f t="shared" si="12"/>
        <v>0</v>
      </c>
    </row>
    <row r="29" spans="1:9" ht="18" hidden="1">
      <c r="A29" s="115">
        <f t="shared" si="6"/>
        <v>11</v>
      </c>
      <c r="B29" s="116">
        <v>0</v>
      </c>
      <c r="C29" s="117">
        <v>0</v>
      </c>
      <c r="D29" s="118">
        <f t="shared" si="11"/>
        <v>0</v>
      </c>
      <c r="E29" s="119" t="str">
        <f t="shared" si="4"/>
        <v>-</v>
      </c>
      <c r="F29" s="120">
        <f t="shared" si="7"/>
        <v>0</v>
      </c>
      <c r="G29" s="119" t="str">
        <f t="shared" si="5"/>
        <v>-</v>
      </c>
      <c r="H29" s="120">
        <f t="shared" si="8"/>
        <v>0</v>
      </c>
      <c r="I29" s="120">
        <f t="shared" si="12"/>
        <v>0</v>
      </c>
    </row>
    <row r="30" spans="1:9" ht="18" hidden="1">
      <c r="A30" s="115">
        <f t="shared" si="6"/>
        <v>12</v>
      </c>
      <c r="B30" s="116">
        <v>0</v>
      </c>
      <c r="C30" s="117">
        <v>0</v>
      </c>
      <c r="D30" s="118">
        <f t="shared" si="11"/>
        <v>0</v>
      </c>
      <c r="E30" s="119" t="str">
        <f t="shared" si="4"/>
        <v>-</v>
      </c>
      <c r="F30" s="120">
        <f t="shared" si="7"/>
        <v>0</v>
      </c>
      <c r="G30" s="119" t="str">
        <f t="shared" si="5"/>
        <v>-</v>
      </c>
      <c r="H30" s="120">
        <f t="shared" si="8"/>
        <v>0</v>
      </c>
      <c r="I30" s="120">
        <f t="shared" si="12"/>
        <v>0</v>
      </c>
    </row>
    <row r="31" spans="1:11" ht="18" hidden="1">
      <c r="A31" s="115">
        <f t="shared" si="6"/>
        <v>13</v>
      </c>
      <c r="B31" s="116">
        <v>0</v>
      </c>
      <c r="C31" s="117">
        <v>0</v>
      </c>
      <c r="D31" s="118">
        <f t="shared" si="11"/>
        <v>0</v>
      </c>
      <c r="E31" s="119" t="str">
        <f t="shared" si="4"/>
        <v>-</v>
      </c>
      <c r="F31" s="120">
        <f t="shared" si="7"/>
        <v>0</v>
      </c>
      <c r="G31" s="119" t="str">
        <f t="shared" si="5"/>
        <v>-</v>
      </c>
      <c r="H31" s="120">
        <f t="shared" si="8"/>
        <v>0</v>
      </c>
      <c r="I31" s="120">
        <f t="shared" si="12"/>
        <v>0</v>
      </c>
      <c r="K31" s="121"/>
    </row>
    <row r="32" spans="1:9" ht="18" hidden="1">
      <c r="A32" s="115">
        <f t="shared" si="6"/>
        <v>14</v>
      </c>
      <c r="B32" s="116">
        <v>0</v>
      </c>
      <c r="C32" s="117">
        <v>0</v>
      </c>
      <c r="D32" s="118">
        <f t="shared" si="11"/>
        <v>0</v>
      </c>
      <c r="E32" s="119" t="str">
        <f t="shared" si="4"/>
        <v>-</v>
      </c>
      <c r="F32" s="120">
        <f t="shared" si="7"/>
        <v>0</v>
      </c>
      <c r="G32" s="119" t="str">
        <f t="shared" si="5"/>
        <v>-</v>
      </c>
      <c r="H32" s="120">
        <f t="shared" si="8"/>
        <v>0</v>
      </c>
      <c r="I32" s="120">
        <f t="shared" si="12"/>
        <v>0</v>
      </c>
    </row>
    <row r="33" spans="1:9" ht="18.75" hidden="1" thickBot="1">
      <c r="A33" s="122">
        <f t="shared" si="6"/>
        <v>15</v>
      </c>
      <c r="B33" s="123">
        <v>0</v>
      </c>
      <c r="C33" s="124">
        <v>0</v>
      </c>
      <c r="D33" s="125">
        <f t="shared" si="11"/>
        <v>0</v>
      </c>
      <c r="E33" s="126" t="str">
        <f t="shared" si="4"/>
        <v>-</v>
      </c>
      <c r="F33" s="127">
        <f t="shared" si="7"/>
        <v>0</v>
      </c>
      <c r="G33" s="126" t="str">
        <f t="shared" si="5"/>
        <v>-</v>
      </c>
      <c r="H33" s="127">
        <f t="shared" si="8"/>
        <v>0</v>
      </c>
      <c r="I33" s="127">
        <f t="shared" si="12"/>
        <v>0</v>
      </c>
    </row>
    <row r="34" spans="1:9" ht="18" hidden="1">
      <c r="A34" s="115">
        <f t="shared" si="6"/>
        <v>16</v>
      </c>
      <c r="B34" s="116">
        <v>0</v>
      </c>
      <c r="C34" s="117">
        <v>0</v>
      </c>
      <c r="D34" s="118">
        <f t="shared" si="11"/>
        <v>0</v>
      </c>
      <c r="E34" s="119" t="str">
        <f t="shared" si="4"/>
        <v>-</v>
      </c>
      <c r="F34" s="120">
        <f t="shared" si="7"/>
        <v>0</v>
      </c>
      <c r="G34" s="119" t="str">
        <f t="shared" si="5"/>
        <v>-</v>
      </c>
      <c r="H34" s="120">
        <f t="shared" si="8"/>
        <v>0</v>
      </c>
      <c r="I34" s="120">
        <f t="shared" si="12"/>
        <v>0</v>
      </c>
    </row>
    <row r="35" spans="1:9" ht="18" hidden="1">
      <c r="A35" s="115">
        <f t="shared" si="6"/>
        <v>17</v>
      </c>
      <c r="B35" s="116">
        <v>0</v>
      </c>
      <c r="C35" s="117">
        <v>0</v>
      </c>
      <c r="D35" s="118">
        <f t="shared" si="11"/>
        <v>0</v>
      </c>
      <c r="E35" s="119" t="str">
        <f t="shared" si="4"/>
        <v>-</v>
      </c>
      <c r="F35" s="120">
        <f t="shared" si="7"/>
        <v>0</v>
      </c>
      <c r="G35" s="119" t="str">
        <f t="shared" si="5"/>
        <v>-</v>
      </c>
      <c r="H35" s="120">
        <f t="shared" si="8"/>
        <v>0</v>
      </c>
      <c r="I35" s="120">
        <f t="shared" si="12"/>
        <v>0</v>
      </c>
    </row>
    <row r="36" spans="1:9" ht="18" hidden="1">
      <c r="A36" s="115">
        <f t="shared" si="6"/>
        <v>18</v>
      </c>
      <c r="B36" s="116">
        <v>0</v>
      </c>
      <c r="C36" s="117">
        <v>0</v>
      </c>
      <c r="D36" s="118">
        <f t="shared" si="11"/>
        <v>0</v>
      </c>
      <c r="E36" s="119" t="str">
        <f t="shared" si="4"/>
        <v>-</v>
      </c>
      <c r="F36" s="120">
        <f t="shared" si="7"/>
        <v>0</v>
      </c>
      <c r="G36" s="119" t="str">
        <f t="shared" si="5"/>
        <v>-</v>
      </c>
      <c r="H36" s="120">
        <f t="shared" si="8"/>
        <v>0</v>
      </c>
      <c r="I36" s="120">
        <f t="shared" si="12"/>
        <v>0</v>
      </c>
    </row>
    <row r="37" spans="1:9" ht="18" hidden="1">
      <c r="A37" s="115">
        <f t="shared" si="6"/>
        <v>19</v>
      </c>
      <c r="B37" s="116">
        <v>0</v>
      </c>
      <c r="C37" s="117">
        <v>0</v>
      </c>
      <c r="D37" s="118">
        <f t="shared" si="11"/>
        <v>0</v>
      </c>
      <c r="E37" s="119" t="str">
        <f t="shared" si="4"/>
        <v>-</v>
      </c>
      <c r="F37" s="120">
        <f t="shared" si="7"/>
        <v>0</v>
      </c>
      <c r="G37" s="119" t="str">
        <f t="shared" si="5"/>
        <v>-</v>
      </c>
      <c r="H37" s="120">
        <f t="shared" si="8"/>
        <v>0</v>
      </c>
      <c r="I37" s="120">
        <f t="shared" si="12"/>
        <v>0</v>
      </c>
    </row>
    <row r="38" spans="1:9" ht="18" hidden="1">
      <c r="A38" s="115">
        <f t="shared" si="6"/>
        <v>20</v>
      </c>
      <c r="B38" s="116">
        <v>0</v>
      </c>
      <c r="C38" s="117">
        <v>0</v>
      </c>
      <c r="D38" s="118">
        <f t="shared" si="11"/>
        <v>0</v>
      </c>
      <c r="E38" s="119" t="str">
        <f t="shared" si="4"/>
        <v>-</v>
      </c>
      <c r="F38" s="120">
        <f t="shared" si="7"/>
        <v>0</v>
      </c>
      <c r="G38" s="119" t="str">
        <f t="shared" si="5"/>
        <v>-</v>
      </c>
      <c r="H38" s="120">
        <f t="shared" si="8"/>
        <v>0</v>
      </c>
      <c r="I38" s="120">
        <f t="shared" si="12"/>
        <v>0</v>
      </c>
    </row>
    <row r="39" spans="1:9" ht="18" hidden="1">
      <c r="A39" s="115">
        <f t="shared" si="6"/>
        <v>21</v>
      </c>
      <c r="B39" s="116">
        <v>0</v>
      </c>
      <c r="C39" s="117">
        <v>0</v>
      </c>
      <c r="D39" s="118">
        <f t="shared" si="11"/>
        <v>0</v>
      </c>
      <c r="E39" s="119" t="str">
        <f t="shared" si="4"/>
        <v>-</v>
      </c>
      <c r="F39" s="120">
        <f t="shared" si="7"/>
        <v>0</v>
      </c>
      <c r="G39" s="119" t="str">
        <f t="shared" si="5"/>
        <v>-</v>
      </c>
      <c r="H39" s="120">
        <f t="shared" si="8"/>
        <v>0</v>
      </c>
      <c r="I39" s="120">
        <f t="shared" si="12"/>
        <v>0</v>
      </c>
    </row>
    <row r="40" spans="1:9" ht="18" hidden="1">
      <c r="A40" s="115">
        <f t="shared" si="6"/>
        <v>22</v>
      </c>
      <c r="B40" s="116">
        <v>0</v>
      </c>
      <c r="C40" s="117">
        <v>0</v>
      </c>
      <c r="D40" s="118">
        <f t="shared" si="11"/>
        <v>0</v>
      </c>
      <c r="E40" s="119" t="str">
        <f t="shared" si="4"/>
        <v>-</v>
      </c>
      <c r="F40" s="120">
        <f t="shared" si="7"/>
        <v>0</v>
      </c>
      <c r="G40" s="119" t="str">
        <f t="shared" si="5"/>
        <v>-</v>
      </c>
      <c r="H40" s="120">
        <f t="shared" si="8"/>
        <v>0</v>
      </c>
      <c r="I40" s="120">
        <f t="shared" si="12"/>
        <v>0</v>
      </c>
    </row>
    <row r="41" spans="1:9" ht="18" hidden="1">
      <c r="A41" s="115">
        <f t="shared" si="6"/>
        <v>23</v>
      </c>
      <c r="B41" s="116">
        <v>0</v>
      </c>
      <c r="C41" s="117">
        <v>0</v>
      </c>
      <c r="D41" s="118">
        <f t="shared" si="11"/>
        <v>0</v>
      </c>
      <c r="E41" s="119" t="str">
        <f t="shared" si="4"/>
        <v>-</v>
      </c>
      <c r="F41" s="120">
        <f t="shared" si="7"/>
        <v>0</v>
      </c>
      <c r="G41" s="119" t="str">
        <f t="shared" si="5"/>
        <v>-</v>
      </c>
      <c r="H41" s="120">
        <f t="shared" si="8"/>
        <v>0</v>
      </c>
      <c r="I41" s="120">
        <f t="shared" si="12"/>
        <v>0</v>
      </c>
    </row>
    <row r="42" spans="1:9" ht="18" hidden="1">
      <c r="A42" s="115">
        <f t="shared" si="6"/>
        <v>24</v>
      </c>
      <c r="B42" s="116">
        <v>0</v>
      </c>
      <c r="C42" s="117">
        <v>0</v>
      </c>
      <c r="D42" s="118">
        <f t="shared" si="11"/>
        <v>0</v>
      </c>
      <c r="E42" s="119" t="str">
        <f t="shared" si="4"/>
        <v>-</v>
      </c>
      <c r="F42" s="120">
        <f t="shared" si="7"/>
        <v>0</v>
      </c>
      <c r="G42" s="119" t="str">
        <f t="shared" si="5"/>
        <v>-</v>
      </c>
      <c r="H42" s="120">
        <f t="shared" si="8"/>
        <v>0</v>
      </c>
      <c r="I42" s="120">
        <f t="shared" si="12"/>
        <v>0</v>
      </c>
    </row>
    <row r="43" spans="1:9" ht="18" hidden="1">
      <c r="A43" s="115">
        <f t="shared" si="6"/>
        <v>25</v>
      </c>
      <c r="B43" s="116">
        <v>0</v>
      </c>
      <c r="C43" s="117">
        <v>0</v>
      </c>
      <c r="D43" s="118">
        <f t="shared" si="11"/>
        <v>0</v>
      </c>
      <c r="E43" s="119" t="str">
        <f t="shared" si="4"/>
        <v>-</v>
      </c>
      <c r="F43" s="120">
        <f t="shared" si="7"/>
        <v>0</v>
      </c>
      <c r="G43" s="119" t="str">
        <f t="shared" si="5"/>
        <v>-</v>
      </c>
      <c r="H43" s="120">
        <f t="shared" si="8"/>
        <v>0</v>
      </c>
      <c r="I43" s="120">
        <f t="shared" si="12"/>
        <v>0</v>
      </c>
    </row>
    <row r="44" spans="1:9" ht="18" hidden="1">
      <c r="A44" s="115">
        <f t="shared" si="6"/>
        <v>26</v>
      </c>
      <c r="B44" s="116">
        <v>0</v>
      </c>
      <c r="C44" s="117">
        <v>0</v>
      </c>
      <c r="D44" s="118">
        <f t="shared" si="11"/>
        <v>0</v>
      </c>
      <c r="E44" s="119" t="str">
        <f t="shared" si="4"/>
        <v>-</v>
      </c>
      <c r="F44" s="120">
        <f t="shared" si="7"/>
        <v>0</v>
      </c>
      <c r="G44" s="119" t="str">
        <f t="shared" si="5"/>
        <v>-</v>
      </c>
      <c r="H44" s="120">
        <f t="shared" si="8"/>
        <v>0</v>
      </c>
      <c r="I44" s="120">
        <f t="shared" si="12"/>
        <v>0</v>
      </c>
    </row>
    <row r="45" spans="1:9" ht="18" hidden="1">
      <c r="A45" s="115">
        <f t="shared" si="6"/>
        <v>27</v>
      </c>
      <c r="B45" s="116">
        <v>0</v>
      </c>
      <c r="C45" s="117">
        <v>0</v>
      </c>
      <c r="D45" s="118">
        <f t="shared" si="11"/>
        <v>0</v>
      </c>
      <c r="E45" s="119" t="str">
        <f t="shared" si="4"/>
        <v>-</v>
      </c>
      <c r="F45" s="120">
        <f t="shared" si="7"/>
        <v>0</v>
      </c>
      <c r="G45" s="119" t="str">
        <f t="shared" si="5"/>
        <v>-</v>
      </c>
      <c r="H45" s="120">
        <f t="shared" si="8"/>
        <v>0</v>
      </c>
      <c r="I45" s="120">
        <f t="shared" si="12"/>
        <v>0</v>
      </c>
    </row>
    <row r="46" spans="1:9" ht="18" hidden="1">
      <c r="A46" s="115">
        <f t="shared" si="6"/>
        <v>28</v>
      </c>
      <c r="B46" s="116">
        <v>0</v>
      </c>
      <c r="C46" s="117">
        <v>0</v>
      </c>
      <c r="D46" s="118">
        <f t="shared" si="11"/>
        <v>0</v>
      </c>
      <c r="E46" s="119" t="str">
        <f t="shared" si="4"/>
        <v>-</v>
      </c>
      <c r="F46" s="120">
        <f t="shared" si="7"/>
        <v>0</v>
      </c>
      <c r="G46" s="119" t="str">
        <f t="shared" si="5"/>
        <v>-</v>
      </c>
      <c r="H46" s="120">
        <f t="shared" si="8"/>
        <v>0</v>
      </c>
      <c r="I46" s="120">
        <f t="shared" si="12"/>
        <v>0</v>
      </c>
    </row>
    <row r="47" spans="1:9" ht="18" hidden="1">
      <c r="A47" s="115">
        <f t="shared" si="6"/>
        <v>29</v>
      </c>
      <c r="B47" s="116">
        <v>0</v>
      </c>
      <c r="C47" s="117">
        <v>0</v>
      </c>
      <c r="D47" s="118">
        <f t="shared" si="11"/>
        <v>0</v>
      </c>
      <c r="E47" s="119" t="str">
        <f t="shared" si="4"/>
        <v>-</v>
      </c>
      <c r="F47" s="120">
        <f t="shared" si="7"/>
        <v>0</v>
      </c>
      <c r="G47" s="119" t="str">
        <f t="shared" si="5"/>
        <v>-</v>
      </c>
      <c r="H47" s="120">
        <f t="shared" si="8"/>
        <v>0</v>
      </c>
      <c r="I47" s="120">
        <f t="shared" si="12"/>
        <v>0</v>
      </c>
    </row>
    <row r="48" spans="1:9" ht="18" hidden="1">
      <c r="A48" s="115">
        <f t="shared" si="6"/>
        <v>30</v>
      </c>
      <c r="B48" s="116">
        <v>0</v>
      </c>
      <c r="C48" s="117">
        <v>0</v>
      </c>
      <c r="D48" s="118">
        <f t="shared" si="11"/>
        <v>0</v>
      </c>
      <c r="E48" s="119" t="str">
        <f t="shared" si="4"/>
        <v>-</v>
      </c>
      <c r="F48" s="120">
        <f t="shared" si="7"/>
        <v>0</v>
      </c>
      <c r="G48" s="119" t="str">
        <f t="shared" si="5"/>
        <v>-</v>
      </c>
      <c r="H48" s="120">
        <f t="shared" si="8"/>
        <v>0</v>
      </c>
      <c r="I48" s="120">
        <f t="shared" si="12"/>
        <v>0</v>
      </c>
    </row>
    <row r="49" spans="1:9" ht="18" hidden="1">
      <c r="A49" s="115">
        <f t="shared" si="6"/>
        <v>31</v>
      </c>
      <c r="B49" s="116">
        <v>0</v>
      </c>
      <c r="C49" s="117">
        <v>0</v>
      </c>
      <c r="D49" s="118">
        <f t="shared" si="11"/>
        <v>0</v>
      </c>
      <c r="E49" s="119" t="str">
        <f t="shared" si="4"/>
        <v>-</v>
      </c>
      <c r="F49" s="120">
        <f t="shared" si="7"/>
        <v>0</v>
      </c>
      <c r="G49" s="119" t="str">
        <f t="shared" si="5"/>
        <v>-</v>
      </c>
      <c r="H49" s="120">
        <f t="shared" si="8"/>
        <v>0</v>
      </c>
      <c r="I49" s="120">
        <f t="shared" si="12"/>
        <v>0</v>
      </c>
    </row>
    <row r="50" spans="1:9" ht="18" hidden="1">
      <c r="A50" s="115">
        <f t="shared" si="6"/>
        <v>32</v>
      </c>
      <c r="B50" s="116">
        <v>0</v>
      </c>
      <c r="C50" s="117">
        <v>0</v>
      </c>
      <c r="D50" s="118">
        <f t="shared" si="11"/>
        <v>0</v>
      </c>
      <c r="E50" s="119" t="str">
        <f aca="true" t="shared" si="13" ref="E50:E68">IF(A50&lt;=$B$15,POWER((1+$B$16),(A50*-1)),"-")</f>
        <v>-</v>
      </c>
      <c r="F50" s="120">
        <f t="shared" si="7"/>
        <v>0</v>
      </c>
      <c r="G50" s="119" t="str">
        <f aca="true" t="shared" si="14" ref="G50:G68">IF(A50&lt;=$B$15,POWER((1+$F$71),(A50*-1)),"-")</f>
        <v>-</v>
      </c>
      <c r="H50" s="120">
        <f t="shared" si="8"/>
        <v>0</v>
      </c>
      <c r="I50" s="120">
        <f t="shared" si="12"/>
        <v>0</v>
      </c>
    </row>
    <row r="51" spans="1:9" ht="18" hidden="1">
      <c r="A51" s="115">
        <f aca="true" t="shared" si="15" ref="A51:A68">A50+1</f>
        <v>33</v>
      </c>
      <c r="B51" s="116">
        <v>0</v>
      </c>
      <c r="C51" s="117">
        <v>0</v>
      </c>
      <c r="D51" s="118">
        <f t="shared" si="11"/>
        <v>0</v>
      </c>
      <c r="E51" s="119" t="str">
        <f t="shared" si="13"/>
        <v>-</v>
      </c>
      <c r="F51" s="120">
        <f aca="true" t="shared" si="16" ref="F51:F68">PV($B$16,A51,0,D51)*-1</f>
        <v>0</v>
      </c>
      <c r="G51" s="119" t="str">
        <f t="shared" si="14"/>
        <v>-</v>
      </c>
      <c r="H51" s="120">
        <f aca="true" t="shared" si="17" ref="H51:H68">PV($F$71,A51,0,D51)*-1</f>
        <v>0</v>
      </c>
      <c r="I51" s="120">
        <f t="shared" si="12"/>
        <v>0</v>
      </c>
    </row>
    <row r="52" spans="1:9" ht="18" hidden="1">
      <c r="A52" s="115">
        <f t="shared" si="15"/>
        <v>34</v>
      </c>
      <c r="B52" s="116">
        <v>0</v>
      </c>
      <c r="C52" s="117">
        <v>0</v>
      </c>
      <c r="D52" s="118">
        <f t="shared" si="11"/>
        <v>0</v>
      </c>
      <c r="E52" s="119" t="str">
        <f t="shared" si="13"/>
        <v>-</v>
      </c>
      <c r="F52" s="120">
        <f t="shared" si="16"/>
        <v>0</v>
      </c>
      <c r="G52" s="119" t="str">
        <f t="shared" si="14"/>
        <v>-</v>
      </c>
      <c r="H52" s="120">
        <f t="shared" si="17"/>
        <v>0</v>
      </c>
      <c r="I52" s="120">
        <f t="shared" si="12"/>
        <v>0</v>
      </c>
    </row>
    <row r="53" spans="1:9" ht="18" hidden="1">
      <c r="A53" s="115">
        <f t="shared" si="15"/>
        <v>35</v>
      </c>
      <c r="B53" s="116">
        <v>0</v>
      </c>
      <c r="C53" s="117">
        <v>0</v>
      </c>
      <c r="D53" s="118">
        <f t="shared" si="11"/>
        <v>0</v>
      </c>
      <c r="E53" s="119" t="str">
        <f t="shared" si="13"/>
        <v>-</v>
      </c>
      <c r="F53" s="120">
        <f t="shared" si="16"/>
        <v>0</v>
      </c>
      <c r="G53" s="119" t="str">
        <f t="shared" si="14"/>
        <v>-</v>
      </c>
      <c r="H53" s="120">
        <f t="shared" si="17"/>
        <v>0</v>
      </c>
      <c r="I53" s="120">
        <f t="shared" si="12"/>
        <v>0</v>
      </c>
    </row>
    <row r="54" spans="1:9" ht="18" hidden="1">
      <c r="A54" s="115">
        <f t="shared" si="15"/>
        <v>36</v>
      </c>
      <c r="B54" s="116">
        <v>0</v>
      </c>
      <c r="C54" s="117">
        <v>0</v>
      </c>
      <c r="D54" s="118">
        <f t="shared" si="11"/>
        <v>0</v>
      </c>
      <c r="E54" s="119" t="str">
        <f t="shared" si="13"/>
        <v>-</v>
      </c>
      <c r="F54" s="120">
        <f t="shared" si="16"/>
        <v>0</v>
      </c>
      <c r="G54" s="119" t="str">
        <f t="shared" si="14"/>
        <v>-</v>
      </c>
      <c r="H54" s="120">
        <f t="shared" si="17"/>
        <v>0</v>
      </c>
      <c r="I54" s="120">
        <f t="shared" si="12"/>
        <v>0</v>
      </c>
    </row>
    <row r="55" spans="1:9" ht="18" hidden="1">
      <c r="A55" s="115">
        <f t="shared" si="15"/>
        <v>37</v>
      </c>
      <c r="B55" s="116">
        <v>0</v>
      </c>
      <c r="C55" s="117">
        <v>0</v>
      </c>
      <c r="D55" s="118">
        <f t="shared" si="11"/>
        <v>0</v>
      </c>
      <c r="E55" s="119" t="str">
        <f t="shared" si="13"/>
        <v>-</v>
      </c>
      <c r="F55" s="120">
        <f t="shared" si="16"/>
        <v>0</v>
      </c>
      <c r="G55" s="119" t="str">
        <f t="shared" si="14"/>
        <v>-</v>
      </c>
      <c r="H55" s="120">
        <f t="shared" si="17"/>
        <v>0</v>
      </c>
      <c r="I55" s="120">
        <f t="shared" si="12"/>
        <v>0</v>
      </c>
    </row>
    <row r="56" spans="1:9" ht="18" hidden="1">
      <c r="A56" s="115">
        <f t="shared" si="15"/>
        <v>38</v>
      </c>
      <c r="B56" s="116">
        <v>0</v>
      </c>
      <c r="C56" s="117">
        <v>0</v>
      </c>
      <c r="D56" s="118">
        <f t="shared" si="11"/>
        <v>0</v>
      </c>
      <c r="E56" s="119" t="str">
        <f t="shared" si="13"/>
        <v>-</v>
      </c>
      <c r="F56" s="120">
        <f t="shared" si="16"/>
        <v>0</v>
      </c>
      <c r="G56" s="119" t="str">
        <f t="shared" si="14"/>
        <v>-</v>
      </c>
      <c r="H56" s="120">
        <f t="shared" si="17"/>
        <v>0</v>
      </c>
      <c r="I56" s="120">
        <f t="shared" si="12"/>
        <v>0</v>
      </c>
    </row>
    <row r="57" spans="1:9" ht="18" hidden="1">
      <c r="A57" s="115">
        <f t="shared" si="15"/>
        <v>39</v>
      </c>
      <c r="B57" s="116">
        <v>0</v>
      </c>
      <c r="C57" s="117">
        <v>0</v>
      </c>
      <c r="D57" s="118">
        <f t="shared" si="11"/>
        <v>0</v>
      </c>
      <c r="E57" s="119" t="str">
        <f t="shared" si="13"/>
        <v>-</v>
      </c>
      <c r="F57" s="120">
        <f t="shared" si="16"/>
        <v>0</v>
      </c>
      <c r="G57" s="119" t="str">
        <f t="shared" si="14"/>
        <v>-</v>
      </c>
      <c r="H57" s="120">
        <f t="shared" si="17"/>
        <v>0</v>
      </c>
      <c r="I57" s="120">
        <f t="shared" si="12"/>
        <v>0</v>
      </c>
    </row>
    <row r="58" spans="1:9" ht="18" hidden="1">
      <c r="A58" s="115">
        <f t="shared" si="15"/>
        <v>40</v>
      </c>
      <c r="B58" s="116">
        <v>0</v>
      </c>
      <c r="C58" s="117">
        <v>0</v>
      </c>
      <c r="D58" s="118">
        <f t="shared" si="11"/>
        <v>0</v>
      </c>
      <c r="E58" s="119" t="str">
        <f t="shared" si="13"/>
        <v>-</v>
      </c>
      <c r="F58" s="120">
        <f t="shared" si="16"/>
        <v>0</v>
      </c>
      <c r="G58" s="119" t="str">
        <f t="shared" si="14"/>
        <v>-</v>
      </c>
      <c r="H58" s="120">
        <f t="shared" si="17"/>
        <v>0</v>
      </c>
      <c r="I58" s="120">
        <f t="shared" si="12"/>
        <v>0</v>
      </c>
    </row>
    <row r="59" spans="1:9" ht="18" hidden="1">
      <c r="A59" s="115">
        <f t="shared" si="15"/>
        <v>41</v>
      </c>
      <c r="B59" s="116">
        <v>0</v>
      </c>
      <c r="C59" s="117">
        <v>0</v>
      </c>
      <c r="D59" s="118">
        <f t="shared" si="11"/>
        <v>0</v>
      </c>
      <c r="E59" s="119" t="str">
        <f t="shared" si="13"/>
        <v>-</v>
      </c>
      <c r="F59" s="120">
        <f t="shared" si="16"/>
        <v>0</v>
      </c>
      <c r="G59" s="119" t="str">
        <f t="shared" si="14"/>
        <v>-</v>
      </c>
      <c r="H59" s="120">
        <f t="shared" si="17"/>
        <v>0</v>
      </c>
      <c r="I59" s="120">
        <f t="shared" si="12"/>
        <v>0</v>
      </c>
    </row>
    <row r="60" spans="1:9" ht="18" hidden="1">
      <c r="A60" s="115">
        <f t="shared" si="15"/>
        <v>42</v>
      </c>
      <c r="B60" s="116">
        <v>0</v>
      </c>
      <c r="C60" s="117">
        <v>0</v>
      </c>
      <c r="D60" s="118">
        <f t="shared" si="11"/>
        <v>0</v>
      </c>
      <c r="E60" s="119" t="str">
        <f t="shared" si="13"/>
        <v>-</v>
      </c>
      <c r="F60" s="120">
        <f t="shared" si="16"/>
        <v>0</v>
      </c>
      <c r="G60" s="119" t="str">
        <f t="shared" si="14"/>
        <v>-</v>
      </c>
      <c r="H60" s="120">
        <f t="shared" si="17"/>
        <v>0</v>
      </c>
      <c r="I60" s="120">
        <f t="shared" si="12"/>
        <v>0</v>
      </c>
    </row>
    <row r="61" spans="1:9" ht="18" hidden="1">
      <c r="A61" s="115">
        <f t="shared" si="15"/>
        <v>43</v>
      </c>
      <c r="B61" s="116">
        <v>0</v>
      </c>
      <c r="C61" s="117">
        <v>0</v>
      </c>
      <c r="D61" s="118">
        <f t="shared" si="11"/>
        <v>0</v>
      </c>
      <c r="E61" s="119" t="str">
        <f t="shared" si="13"/>
        <v>-</v>
      </c>
      <c r="F61" s="120">
        <f t="shared" si="16"/>
        <v>0</v>
      </c>
      <c r="G61" s="119" t="str">
        <f t="shared" si="14"/>
        <v>-</v>
      </c>
      <c r="H61" s="120">
        <f t="shared" si="17"/>
        <v>0</v>
      </c>
      <c r="I61" s="120">
        <f t="shared" si="12"/>
        <v>0</v>
      </c>
    </row>
    <row r="62" spans="1:9" ht="18" hidden="1">
      <c r="A62" s="115">
        <f t="shared" si="15"/>
        <v>44</v>
      </c>
      <c r="B62" s="116">
        <v>0</v>
      </c>
      <c r="C62" s="117">
        <v>0</v>
      </c>
      <c r="D62" s="118">
        <f t="shared" si="11"/>
        <v>0</v>
      </c>
      <c r="E62" s="119" t="str">
        <f t="shared" si="13"/>
        <v>-</v>
      </c>
      <c r="F62" s="120">
        <f t="shared" si="16"/>
        <v>0</v>
      </c>
      <c r="G62" s="119" t="str">
        <f t="shared" si="14"/>
        <v>-</v>
      </c>
      <c r="H62" s="120">
        <f t="shared" si="17"/>
        <v>0</v>
      </c>
      <c r="I62" s="120">
        <f t="shared" si="12"/>
        <v>0</v>
      </c>
    </row>
    <row r="63" spans="1:9" ht="18" hidden="1">
      <c r="A63" s="115">
        <f t="shared" si="15"/>
        <v>45</v>
      </c>
      <c r="B63" s="116">
        <v>0</v>
      </c>
      <c r="C63" s="117">
        <v>0</v>
      </c>
      <c r="D63" s="118">
        <f t="shared" si="11"/>
        <v>0</v>
      </c>
      <c r="E63" s="119" t="str">
        <f t="shared" si="13"/>
        <v>-</v>
      </c>
      <c r="F63" s="120">
        <f t="shared" si="16"/>
        <v>0</v>
      </c>
      <c r="G63" s="119" t="str">
        <f t="shared" si="14"/>
        <v>-</v>
      </c>
      <c r="H63" s="120">
        <f t="shared" si="17"/>
        <v>0</v>
      </c>
      <c r="I63" s="120">
        <f t="shared" si="12"/>
        <v>0</v>
      </c>
    </row>
    <row r="64" spans="1:9" ht="18" hidden="1">
      <c r="A64" s="115">
        <f t="shared" si="15"/>
        <v>46</v>
      </c>
      <c r="B64" s="116">
        <v>0</v>
      </c>
      <c r="C64" s="117">
        <v>0</v>
      </c>
      <c r="D64" s="118">
        <f t="shared" si="11"/>
        <v>0</v>
      </c>
      <c r="E64" s="119" t="str">
        <f t="shared" si="13"/>
        <v>-</v>
      </c>
      <c r="F64" s="120">
        <f t="shared" si="16"/>
        <v>0</v>
      </c>
      <c r="G64" s="119" t="str">
        <f t="shared" si="14"/>
        <v>-</v>
      </c>
      <c r="H64" s="120">
        <f t="shared" si="17"/>
        <v>0</v>
      </c>
      <c r="I64" s="120">
        <f t="shared" si="12"/>
        <v>0</v>
      </c>
    </row>
    <row r="65" spans="1:9" ht="18" hidden="1">
      <c r="A65" s="115">
        <f t="shared" si="15"/>
        <v>47</v>
      </c>
      <c r="B65" s="116">
        <v>0</v>
      </c>
      <c r="C65" s="117">
        <v>0</v>
      </c>
      <c r="D65" s="118">
        <f t="shared" si="11"/>
        <v>0</v>
      </c>
      <c r="E65" s="119" t="str">
        <f t="shared" si="13"/>
        <v>-</v>
      </c>
      <c r="F65" s="120">
        <f t="shared" si="16"/>
        <v>0</v>
      </c>
      <c r="G65" s="119" t="str">
        <f t="shared" si="14"/>
        <v>-</v>
      </c>
      <c r="H65" s="120">
        <f t="shared" si="17"/>
        <v>0</v>
      </c>
      <c r="I65" s="120">
        <f t="shared" si="12"/>
        <v>0</v>
      </c>
    </row>
    <row r="66" spans="1:9" ht="18" hidden="1">
      <c r="A66" s="115">
        <f t="shared" si="15"/>
        <v>48</v>
      </c>
      <c r="B66" s="116">
        <v>0</v>
      </c>
      <c r="C66" s="117">
        <v>0</v>
      </c>
      <c r="D66" s="118">
        <f t="shared" si="11"/>
        <v>0</v>
      </c>
      <c r="E66" s="119" t="str">
        <f t="shared" si="13"/>
        <v>-</v>
      </c>
      <c r="F66" s="120">
        <f t="shared" si="16"/>
        <v>0</v>
      </c>
      <c r="G66" s="119" t="str">
        <f t="shared" si="14"/>
        <v>-</v>
      </c>
      <c r="H66" s="120">
        <f t="shared" si="17"/>
        <v>0</v>
      </c>
      <c r="I66" s="120">
        <f t="shared" si="12"/>
        <v>0</v>
      </c>
    </row>
    <row r="67" spans="1:9" ht="18" hidden="1">
      <c r="A67" s="115">
        <f t="shared" si="15"/>
        <v>49</v>
      </c>
      <c r="B67" s="116">
        <v>0</v>
      </c>
      <c r="C67" s="117">
        <v>0</v>
      </c>
      <c r="D67" s="118">
        <f t="shared" si="11"/>
        <v>0</v>
      </c>
      <c r="E67" s="119" t="str">
        <f t="shared" si="13"/>
        <v>-</v>
      </c>
      <c r="F67" s="120">
        <f t="shared" si="16"/>
        <v>0</v>
      </c>
      <c r="G67" s="119" t="str">
        <f t="shared" si="14"/>
        <v>-</v>
      </c>
      <c r="H67" s="120">
        <f t="shared" si="17"/>
        <v>0</v>
      </c>
      <c r="I67" s="120">
        <f t="shared" si="12"/>
        <v>0</v>
      </c>
    </row>
    <row r="68" spans="1:9" ht="18.75" hidden="1" thickBot="1">
      <c r="A68" s="122">
        <f t="shared" si="15"/>
        <v>50</v>
      </c>
      <c r="B68" s="123">
        <v>0</v>
      </c>
      <c r="C68" s="124">
        <v>0</v>
      </c>
      <c r="D68" s="125">
        <f t="shared" si="11"/>
        <v>0</v>
      </c>
      <c r="E68" s="126" t="str">
        <f t="shared" si="13"/>
        <v>-</v>
      </c>
      <c r="F68" s="127">
        <f t="shared" si="16"/>
        <v>0</v>
      </c>
      <c r="G68" s="126" t="str">
        <f t="shared" si="14"/>
        <v>-</v>
      </c>
      <c r="H68" s="127">
        <f t="shared" si="17"/>
        <v>0</v>
      </c>
      <c r="I68" s="127">
        <f t="shared" si="12"/>
        <v>0</v>
      </c>
    </row>
    <row r="69" spans="1:9" ht="18.75" hidden="1" thickBot="1">
      <c r="A69" s="128" t="s">
        <v>97</v>
      </c>
      <c r="B69" s="129"/>
      <c r="C69" s="129"/>
      <c r="D69" s="129"/>
      <c r="E69" s="129"/>
      <c r="F69" s="130">
        <f>SUM(F18:F68)</f>
        <v>-1514837.4043807418</v>
      </c>
      <c r="G69" s="131"/>
      <c r="H69" s="132">
        <f>SUM(H18:H68)</f>
        <v>-9.953510016202927E-08</v>
      </c>
      <c r="I69" s="133"/>
    </row>
    <row r="70" spans="1:9" ht="18.75" hidden="1" thickBot="1">
      <c r="A70" s="134" t="s">
        <v>98</v>
      </c>
      <c r="B70" s="135"/>
      <c r="C70" s="135"/>
      <c r="D70" s="135"/>
      <c r="E70" s="135"/>
      <c r="F70" s="136">
        <f>I19</f>
        <v>-283947.20904972847</v>
      </c>
      <c r="G70" s="137"/>
      <c r="H70" s="137"/>
      <c r="I70" s="133"/>
    </row>
    <row r="71" spans="1:9" ht="18.75" thickBot="1">
      <c r="A71" s="138" t="s">
        <v>168</v>
      </c>
      <c r="B71" s="139"/>
      <c r="C71" s="139"/>
      <c r="D71" s="139"/>
      <c r="E71" s="139"/>
      <c r="F71" s="140">
        <f>IRR(D18:D68)</f>
        <v>0.03560693066508339</v>
      </c>
      <c r="G71" s="141"/>
      <c r="H71" s="141"/>
      <c r="I71" s="133"/>
    </row>
    <row r="72" spans="1:9" ht="18.75" hidden="1" thickBot="1">
      <c r="A72" s="128" t="s">
        <v>100</v>
      </c>
      <c r="B72" s="129"/>
      <c r="C72" s="129"/>
      <c r="D72" s="129"/>
      <c r="E72" s="129"/>
      <c r="F72" s="142">
        <f>NPER(B16,F74,F18,0)</f>
        <v>13.35270119861913</v>
      </c>
      <c r="G72" s="143"/>
      <c r="H72" s="143"/>
      <c r="I72" s="133"/>
    </row>
    <row r="73" spans="1:8" ht="12.75" hidden="1">
      <c r="A73" s="144" t="s">
        <v>101</v>
      </c>
      <c r="F73" s="145">
        <f>SUM(F19:F68)</f>
        <v>4335162.595619258</v>
      </c>
      <c r="G73" s="145"/>
      <c r="H73" s="145"/>
    </row>
    <row r="74" spans="1:8" ht="12.75" hidden="1">
      <c r="A74" s="144" t="s">
        <v>102</v>
      </c>
      <c r="F74" s="146">
        <f>PMT(B16,B15,F73,0)*-1</f>
        <v>812600.2937629297</v>
      </c>
      <c r="G74" s="146"/>
      <c r="H74" s="146"/>
    </row>
    <row r="76" ht="18">
      <c r="A76" s="147" t="s">
        <v>103</v>
      </c>
    </row>
    <row r="77" spans="1:6" ht="78" customHeight="1">
      <c r="A77" s="407" t="s">
        <v>169</v>
      </c>
      <c r="B77" s="407"/>
      <c r="C77" s="407"/>
      <c r="D77" s="407"/>
      <c r="E77" s="407"/>
      <c r="F77" s="407"/>
    </row>
    <row r="78" spans="1:2" ht="12.75">
      <c r="A78" s="30"/>
      <c r="B78" s="30"/>
    </row>
    <row r="79" spans="1:2" ht="12.75">
      <c r="A79" s="30"/>
      <c r="B79" s="30"/>
    </row>
  </sheetData>
  <mergeCells count="2">
    <mergeCell ref="A1:C1"/>
    <mergeCell ref="A77:F77"/>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J37"/>
  <sheetViews>
    <sheetView workbookViewId="0" topLeftCell="A1">
      <selection activeCell="A1" sqref="A1:I1"/>
    </sheetView>
  </sheetViews>
  <sheetFormatPr defaultColWidth="9.140625" defaultRowHeight="12.75"/>
  <cols>
    <col min="1" max="1" width="14.421875" style="0" customWidth="1"/>
    <col min="2" max="2" width="8.28125" style="0" customWidth="1"/>
    <col min="3" max="3" width="10.140625" style="0" customWidth="1"/>
    <col min="4" max="4" width="23.421875" style="0" bestFit="1" customWidth="1"/>
    <col min="5" max="5" width="7.7109375" style="0" bestFit="1" customWidth="1"/>
    <col min="6" max="6" width="7.8515625" style="0" bestFit="1" customWidth="1"/>
    <col min="7" max="7" width="15.28125" style="0" bestFit="1" customWidth="1"/>
    <col min="8" max="8" width="8.00390625" style="0" bestFit="1" customWidth="1"/>
    <col min="10" max="10" width="16.00390625" style="0" bestFit="1" customWidth="1"/>
  </cols>
  <sheetData>
    <row r="1" spans="1:9" ht="24.75" customHeight="1">
      <c r="A1" s="453" t="s">
        <v>190</v>
      </c>
      <c r="B1" s="453"/>
      <c r="C1" s="453"/>
      <c r="D1" s="453"/>
      <c r="E1" s="453"/>
      <c r="F1" s="453"/>
      <c r="G1" s="453"/>
      <c r="H1" s="453"/>
      <c r="I1" s="453"/>
    </row>
    <row r="2" spans="1:8" ht="26.25" customHeight="1">
      <c r="A2" s="206">
        <v>5</v>
      </c>
      <c r="B2" s="207" t="s">
        <v>170</v>
      </c>
      <c r="C2" s="207" t="s">
        <v>171</v>
      </c>
      <c r="D2" s="208">
        <v>0.018</v>
      </c>
      <c r="E2" s="207" t="s">
        <v>172</v>
      </c>
      <c r="F2" s="206">
        <v>45</v>
      </c>
      <c r="G2" s="207" t="s">
        <v>173</v>
      </c>
      <c r="H2" s="209" t="s">
        <v>174</v>
      </c>
    </row>
    <row r="4" spans="1:10" ht="21" thickBot="1">
      <c r="A4" s="210">
        <f>A2</f>
        <v>5</v>
      </c>
      <c r="B4" s="210" t="s">
        <v>170</v>
      </c>
      <c r="C4" s="211"/>
      <c r="D4" s="210"/>
      <c r="E4" s="210">
        <f>F2-A2</f>
        <v>40</v>
      </c>
      <c r="F4" s="210" t="s">
        <v>170</v>
      </c>
      <c r="G4" s="210"/>
      <c r="H4" s="210"/>
      <c r="I4" s="212"/>
      <c r="J4" s="213"/>
    </row>
    <row r="5" spans="1:10" ht="20.25">
      <c r="A5" s="213"/>
      <c r="B5" s="213"/>
      <c r="C5" s="214"/>
      <c r="D5" s="213"/>
      <c r="E5" s="213"/>
      <c r="F5" s="213"/>
      <c r="G5" s="213"/>
      <c r="H5" s="213"/>
      <c r="I5" s="215"/>
      <c r="J5" s="213"/>
    </row>
    <row r="6" spans="1:10" ht="20.25">
      <c r="A6" s="213"/>
      <c r="B6" s="461">
        <f>I6-(I6*D2)</f>
        <v>98.2</v>
      </c>
      <c r="C6" s="461"/>
      <c r="D6" s="213"/>
      <c r="E6" s="213"/>
      <c r="F6" s="213"/>
      <c r="G6" s="213"/>
      <c r="H6" s="213"/>
      <c r="I6" s="462">
        <v>100</v>
      </c>
      <c r="J6" s="462"/>
    </row>
    <row r="7" spans="1:6" ht="20.25">
      <c r="A7" s="216" t="s">
        <v>175</v>
      </c>
      <c r="B7" s="213"/>
      <c r="C7" s="213"/>
      <c r="D7" s="213"/>
      <c r="E7" s="213"/>
      <c r="F7" s="213"/>
    </row>
    <row r="8" spans="1:9" ht="41.25" customHeight="1" thickBot="1">
      <c r="A8" s="217" t="s">
        <v>176</v>
      </c>
      <c r="B8" s="218" t="s">
        <v>149</v>
      </c>
      <c r="C8" s="219" t="s">
        <v>177</v>
      </c>
      <c r="D8" s="218" t="s">
        <v>149</v>
      </c>
      <c r="E8" s="220">
        <v>100</v>
      </c>
      <c r="F8" s="456" t="s">
        <v>146</v>
      </c>
      <c r="G8" s="454" t="s">
        <v>178</v>
      </c>
      <c r="H8" s="454"/>
      <c r="I8" s="454"/>
    </row>
    <row r="9" spans="1:9" ht="60.75">
      <c r="A9" s="223" t="s">
        <v>179</v>
      </c>
      <c r="B9" s="224" t="s">
        <v>149</v>
      </c>
      <c r="C9" s="467" t="s">
        <v>180</v>
      </c>
      <c r="D9" s="467"/>
      <c r="E9" s="467"/>
      <c r="F9" s="456"/>
      <c r="G9" s="454"/>
      <c r="H9" s="454"/>
      <c r="I9" s="454"/>
    </row>
    <row r="10" spans="2:6" ht="12.75" customHeight="1">
      <c r="B10" s="30"/>
      <c r="F10" s="225"/>
    </row>
    <row r="11" spans="1:6" ht="20.25">
      <c r="A11" s="213" t="s">
        <v>181</v>
      </c>
      <c r="B11" s="213"/>
      <c r="C11" s="213"/>
      <c r="D11" s="213"/>
      <c r="E11" s="213"/>
      <c r="F11" s="225"/>
    </row>
    <row r="12" spans="1:6" ht="20.25">
      <c r="A12" s="213"/>
      <c r="B12" s="213"/>
      <c r="C12" s="213"/>
      <c r="D12" s="213"/>
      <c r="E12" s="213"/>
      <c r="F12" s="225"/>
    </row>
    <row r="13" spans="1:9" ht="24" thickBot="1">
      <c r="A13" s="226">
        <f>D2*100</f>
        <v>1.7999999999999998</v>
      </c>
      <c r="B13" s="227" t="s">
        <v>149</v>
      </c>
      <c r="C13" s="228">
        <v>360</v>
      </c>
      <c r="D13" s="227" t="s">
        <v>149</v>
      </c>
      <c r="E13" s="229">
        <v>100</v>
      </c>
      <c r="F13" s="456" t="s">
        <v>146</v>
      </c>
      <c r="G13" s="463">
        <f>(A13*C13)/(A14*C14)</f>
        <v>0.16496945010183298</v>
      </c>
      <c r="H13" s="465" t="s">
        <v>182</v>
      </c>
      <c r="I13" s="465"/>
    </row>
    <row r="14" spans="1:9" ht="24" thickBot="1">
      <c r="A14" s="230">
        <f>B6</f>
        <v>98.2</v>
      </c>
      <c r="B14" s="189" t="s">
        <v>149</v>
      </c>
      <c r="C14" s="231">
        <f>E4</f>
        <v>40</v>
      </c>
      <c r="D14" s="232"/>
      <c r="E14" s="232"/>
      <c r="F14" s="456"/>
      <c r="G14" s="464"/>
      <c r="H14" s="466"/>
      <c r="I14" s="466"/>
    </row>
    <row r="15" spans="1:9" ht="24" thickTop="1">
      <c r="A15" s="230"/>
      <c r="B15" s="189"/>
      <c r="C15" s="231"/>
      <c r="D15" s="232"/>
      <c r="E15" s="232"/>
      <c r="F15" s="221"/>
      <c r="G15" s="234"/>
      <c r="H15" s="222"/>
      <c r="I15" s="222"/>
    </row>
    <row r="16" spans="1:7" ht="20.25">
      <c r="A16" s="235" t="s">
        <v>183</v>
      </c>
      <c r="B16" s="236"/>
      <c r="C16" s="237"/>
      <c r="D16" s="213"/>
      <c r="E16" s="213"/>
      <c r="F16" s="221"/>
      <c r="G16" s="238"/>
    </row>
    <row r="17" spans="1:10" ht="20.25">
      <c r="A17" s="235" t="s">
        <v>184</v>
      </c>
      <c r="B17" s="236">
        <f>E4</f>
        <v>40</v>
      </c>
      <c r="C17" s="237" t="str">
        <f>B2</f>
        <v>dage</v>
      </c>
      <c r="D17" s="213" t="s">
        <v>185</v>
      </c>
      <c r="E17" s="239">
        <f>A13</f>
        <v>1.7999999999999998</v>
      </c>
      <c r="F17" s="456" t="s">
        <v>186</v>
      </c>
      <c r="G17" s="456"/>
      <c r="H17" s="240">
        <f>A14</f>
        <v>98.2</v>
      </c>
      <c r="I17" s="236" t="s">
        <v>146</v>
      </c>
      <c r="J17" s="241">
        <f>E17/H17</f>
        <v>0.018329938900203662</v>
      </c>
    </row>
    <row r="18" spans="1:9" ht="20.25">
      <c r="A18" s="242" t="s">
        <v>187</v>
      </c>
      <c r="B18" s="242"/>
      <c r="C18" s="242"/>
      <c r="D18" s="242"/>
      <c r="E18" s="242"/>
      <c r="F18" s="242"/>
      <c r="H18" s="459">
        <f>J17</f>
        <v>0.018329938900203662</v>
      </c>
      <c r="I18" s="459"/>
    </row>
    <row r="19" spans="1:7" ht="20.25">
      <c r="A19" s="235" t="s">
        <v>188</v>
      </c>
      <c r="B19" s="236"/>
      <c r="C19" s="237"/>
      <c r="D19" s="213"/>
      <c r="E19" s="213"/>
      <c r="F19" s="221"/>
      <c r="G19" s="238"/>
    </row>
    <row r="20" spans="1:9" ht="26.25" customHeight="1" thickBot="1">
      <c r="A20" s="457" t="str">
        <f>CONCATENATE("((",ROUND(J17,7)+1,")")</f>
        <v>((1,0183299)</v>
      </c>
      <c r="B20" s="457"/>
      <c r="C20" s="458" t="str">
        <f>CONCATENATE("360/",E4)</f>
        <v>360/40</v>
      </c>
      <c r="D20" s="458"/>
      <c r="E20" s="242" t="str">
        <f>CONCATENATE("-1)*100 =")</f>
        <v>-1)*100 =</v>
      </c>
      <c r="F20" s="242"/>
      <c r="G20" s="233">
        <f>POWER(J17+1,360/E4)-1</f>
        <v>0.1775967812191701</v>
      </c>
      <c r="H20" s="460" t="str">
        <f>H13</f>
        <v>i årlig rente</v>
      </c>
      <c r="I20" s="460"/>
    </row>
    <row r="21" spans="1:7" ht="26.25" customHeight="1" thickTop="1">
      <c r="A21" s="243"/>
      <c r="B21" s="243"/>
      <c r="C21" s="244"/>
      <c r="D21" s="244"/>
      <c r="E21" s="242"/>
      <c r="F21" s="242"/>
      <c r="G21" s="238"/>
    </row>
    <row r="22" spans="1:10" ht="20.25">
      <c r="A22" s="455" t="s">
        <v>189</v>
      </c>
      <c r="B22" s="455"/>
      <c r="C22" s="455"/>
      <c r="D22" s="455"/>
      <c r="E22" s="455"/>
      <c r="F22" s="455"/>
      <c r="G22" s="455"/>
      <c r="H22" s="455"/>
      <c r="I22" s="455"/>
      <c r="J22" s="246">
        <v>0.1</v>
      </c>
    </row>
    <row r="23" spans="1:10" ht="20.25">
      <c r="A23" s="245" t="s">
        <v>191</v>
      </c>
      <c r="B23" s="245"/>
      <c r="C23" s="245"/>
      <c r="D23" s="245"/>
      <c r="E23" s="245"/>
      <c r="F23" s="245"/>
      <c r="G23" s="247"/>
      <c r="H23" s="237"/>
      <c r="I23" s="249"/>
      <c r="J23" s="249"/>
    </row>
    <row r="24" spans="1:10" ht="24.75" customHeight="1">
      <c r="A24" s="248" t="s">
        <v>192</v>
      </c>
      <c r="B24" s="248"/>
      <c r="C24" s="248"/>
      <c r="D24" s="248"/>
      <c r="E24" s="248"/>
      <c r="F24" s="248"/>
      <c r="G24" s="248"/>
      <c r="H24" s="248"/>
      <c r="I24" s="248"/>
      <c r="J24" s="248"/>
    </row>
    <row r="25" spans="1:10" ht="20.25" customHeight="1">
      <c r="A25" s="248" t="s">
        <v>193</v>
      </c>
      <c r="B25" s="248"/>
      <c r="C25" s="248"/>
      <c r="D25" s="248"/>
      <c r="E25" s="248"/>
      <c r="F25" s="248"/>
      <c r="G25" s="248"/>
      <c r="H25" s="248"/>
      <c r="I25" s="248"/>
      <c r="J25" s="248"/>
    </row>
    <row r="26" spans="1:10" ht="12.75" customHeight="1">
      <c r="A26" s="248"/>
      <c r="B26" s="248"/>
      <c r="C26" s="248"/>
      <c r="D26" s="248"/>
      <c r="E26" s="248"/>
      <c r="F26" s="248"/>
      <c r="G26" s="248"/>
      <c r="H26" s="248"/>
      <c r="I26" s="248"/>
      <c r="J26" s="248"/>
    </row>
    <row r="27" spans="1:10" ht="20.25">
      <c r="A27" s="213" t="s">
        <v>2</v>
      </c>
      <c r="B27" s="213"/>
      <c r="C27" s="213"/>
      <c r="D27" s="250">
        <v>52200000</v>
      </c>
      <c r="E27" s="213"/>
      <c r="F27" s="213"/>
      <c r="G27" s="213"/>
      <c r="H27" s="213"/>
      <c r="I27" s="213"/>
      <c r="J27" s="213"/>
    </row>
    <row r="28" spans="1:10" ht="20.25">
      <c r="A28" s="213" t="s">
        <v>194</v>
      </c>
      <c r="B28" s="213"/>
      <c r="C28" s="251">
        <v>0.018</v>
      </c>
      <c r="D28" s="250">
        <f>D27*C28</f>
        <v>939599.9999999999</v>
      </c>
      <c r="E28" s="213" t="s">
        <v>197</v>
      </c>
      <c r="F28" s="213"/>
      <c r="G28" s="213"/>
      <c r="H28" s="213"/>
      <c r="I28" s="213"/>
      <c r="J28" s="213"/>
    </row>
    <row r="29" spans="1:10" ht="20.25">
      <c r="A29" s="213" t="s">
        <v>195</v>
      </c>
      <c r="B29" s="213"/>
      <c r="C29" s="213"/>
      <c r="D29" s="250">
        <f>D27-D28</f>
        <v>51260400</v>
      </c>
      <c r="E29" s="213" t="s">
        <v>196</v>
      </c>
      <c r="F29" s="213"/>
      <c r="G29" s="213"/>
      <c r="H29" s="213"/>
      <c r="I29" s="213"/>
      <c r="J29" s="213"/>
    </row>
    <row r="30" spans="1:10" ht="20.25">
      <c r="A30" s="213"/>
      <c r="B30" s="213"/>
      <c r="C30" s="213"/>
      <c r="D30" s="213"/>
      <c r="E30" s="213"/>
      <c r="F30" s="213"/>
      <c r="G30" s="213"/>
      <c r="H30" s="213"/>
      <c r="I30" s="213"/>
      <c r="J30" s="213"/>
    </row>
    <row r="31" spans="1:10" ht="20.25">
      <c r="A31" s="213" t="s">
        <v>198</v>
      </c>
      <c r="B31" s="213"/>
      <c r="C31" s="213"/>
      <c r="D31" s="213"/>
      <c r="E31" s="213"/>
      <c r="F31" s="213"/>
      <c r="G31" s="213"/>
      <c r="H31" s="213"/>
      <c r="I31" s="213"/>
      <c r="J31" s="213"/>
    </row>
    <row r="32" spans="1:10" ht="20.25">
      <c r="A32" s="213" t="s">
        <v>199</v>
      </c>
      <c r="B32" s="213"/>
      <c r="C32" s="213"/>
      <c r="D32" s="213"/>
      <c r="E32" s="213"/>
      <c r="F32" s="213"/>
      <c r="G32" s="213"/>
      <c r="H32" s="213"/>
      <c r="I32" s="213"/>
      <c r="J32" s="213"/>
    </row>
    <row r="33" spans="2:10" ht="20.25">
      <c r="B33" s="213"/>
      <c r="C33" s="213"/>
      <c r="D33" s="213"/>
      <c r="E33" s="213"/>
      <c r="F33" s="213"/>
      <c r="G33" s="213"/>
      <c r="H33" s="213"/>
      <c r="I33" s="213"/>
      <c r="J33" s="213"/>
    </row>
    <row r="34" spans="1:10" ht="20.25">
      <c r="A34" s="213" t="str">
        <f>A28</f>
        <v>Tab pga. gebyr</v>
      </c>
      <c r="B34" s="213"/>
      <c r="C34" s="251">
        <v>0.018</v>
      </c>
      <c r="D34" s="250">
        <f>D28</f>
        <v>939599.9999999999</v>
      </c>
      <c r="E34" s="213"/>
      <c r="F34" s="213"/>
      <c r="G34" s="213"/>
      <c r="H34" s="213"/>
      <c r="I34" s="213"/>
      <c r="J34" s="213"/>
    </row>
    <row r="35" spans="1:10" ht="20.25">
      <c r="A35" s="213" t="s">
        <v>200</v>
      </c>
      <c r="B35" s="213"/>
      <c r="C35" s="213"/>
      <c r="D35" s="250">
        <v>569500</v>
      </c>
      <c r="E35" s="213"/>
      <c r="F35" s="213"/>
      <c r="G35" s="213"/>
      <c r="H35" s="213"/>
      <c r="I35" s="213"/>
      <c r="J35" s="213"/>
    </row>
    <row r="36" spans="1:10" ht="20.25">
      <c r="A36" s="213" t="s">
        <v>201</v>
      </c>
      <c r="B36" s="213"/>
      <c r="C36" s="213"/>
      <c r="D36" s="250">
        <f>D34-D35</f>
        <v>370099.9999999999</v>
      </c>
      <c r="E36" s="213" t="s">
        <v>292</v>
      </c>
      <c r="F36" s="213"/>
      <c r="G36" s="213"/>
      <c r="H36" s="213"/>
      <c r="I36" s="213"/>
      <c r="J36" s="213"/>
    </row>
    <row r="37" ht="20.25">
      <c r="A37" s="213"/>
    </row>
  </sheetData>
  <mergeCells count="15">
    <mergeCell ref="F13:F14"/>
    <mergeCell ref="G13:G14"/>
    <mergeCell ref="H13:I14"/>
    <mergeCell ref="C9:E9"/>
    <mergeCell ref="F8:F9"/>
    <mergeCell ref="A1:I1"/>
    <mergeCell ref="G8:I9"/>
    <mergeCell ref="A22:I22"/>
    <mergeCell ref="F17:G17"/>
    <mergeCell ref="A20:B20"/>
    <mergeCell ref="C20:D20"/>
    <mergeCell ref="H18:I18"/>
    <mergeCell ref="H20:I20"/>
    <mergeCell ref="B6:C6"/>
    <mergeCell ref="I6:J6"/>
  </mergeCells>
  <printOptions/>
  <pageMargins left="0.75" right="0.75" top="1" bottom="1" header="0" footer="0"/>
  <pageSetup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110"/>
  <sheetViews>
    <sheetView tabSelected="1" zoomScale="140" zoomScaleNormal="140" workbookViewId="0" topLeftCell="A1">
      <selection activeCell="A8" sqref="A8"/>
    </sheetView>
  </sheetViews>
  <sheetFormatPr defaultColWidth="9.140625" defaultRowHeight="12.75"/>
  <cols>
    <col min="1" max="1" width="26.8515625" style="0" customWidth="1"/>
    <col min="2" max="2" width="13.8515625" style="0" bestFit="1" customWidth="1"/>
    <col min="3" max="3" width="15.421875" style="0" bestFit="1" customWidth="1"/>
    <col min="4" max="4" width="15.140625" style="0" bestFit="1" customWidth="1"/>
    <col min="5" max="5" width="15.00390625" style="0" bestFit="1" customWidth="1"/>
    <col min="6" max="6" width="11.57421875" style="0" customWidth="1"/>
    <col min="7" max="7" width="15.57421875" style="0" customWidth="1"/>
    <col min="8" max="8" width="13.8515625" style="0" customWidth="1"/>
    <col min="9" max="9" width="13.8515625" style="0" bestFit="1" customWidth="1"/>
  </cols>
  <sheetData>
    <row r="1" ht="13.5" thickBot="1">
      <c r="A1" s="252" t="s">
        <v>202</v>
      </c>
    </row>
    <row r="2" spans="1:9" ht="12.75">
      <c r="A2" s="468" t="s">
        <v>293</v>
      </c>
      <c r="B2" s="469"/>
      <c r="C2" s="469"/>
      <c r="D2" s="469"/>
      <c r="E2" s="469"/>
      <c r="F2" s="469"/>
      <c r="G2" s="469"/>
      <c r="H2" s="469"/>
      <c r="I2" s="470"/>
    </row>
    <row r="3" spans="1:9" ht="13.5" customHeight="1" thickBot="1">
      <c r="A3" s="34" t="s">
        <v>291</v>
      </c>
      <c r="B3" s="35"/>
      <c r="C3" s="35"/>
      <c r="D3" s="35"/>
      <c r="E3" s="254"/>
      <c r="F3" s="254"/>
      <c r="G3" s="471" t="s">
        <v>203</v>
      </c>
      <c r="H3" s="471"/>
      <c r="I3" s="472"/>
    </row>
    <row r="4" spans="1:9" ht="25.5">
      <c r="A4" s="24"/>
      <c r="B4" s="255" t="s">
        <v>204</v>
      </c>
      <c r="C4" s="255" t="s">
        <v>205</v>
      </c>
      <c r="D4" s="255" t="s">
        <v>206</v>
      </c>
      <c r="E4" s="255" t="s">
        <v>207</v>
      </c>
      <c r="F4" s="255" t="s">
        <v>208</v>
      </c>
      <c r="G4" s="256" t="s">
        <v>209</v>
      </c>
      <c r="H4" s="256" t="s">
        <v>210</v>
      </c>
      <c r="I4" s="40" t="s">
        <v>211</v>
      </c>
    </row>
    <row r="5" spans="1:9" ht="12.75">
      <c r="A5" s="29" t="s">
        <v>212</v>
      </c>
      <c r="B5" s="257">
        <v>1100000</v>
      </c>
      <c r="C5" s="257">
        <v>5610000</v>
      </c>
      <c r="D5" s="99">
        <f>C5/B5</f>
        <v>5.1</v>
      </c>
      <c r="E5" s="258">
        <v>1200000</v>
      </c>
      <c r="F5" s="257">
        <v>5</v>
      </c>
      <c r="G5" s="173">
        <f>F5*B5</f>
        <v>5500000</v>
      </c>
      <c r="H5" s="173">
        <f>F5*E5</f>
        <v>6000000</v>
      </c>
      <c r="I5" s="259">
        <f>G5-H5</f>
        <v>-500000</v>
      </c>
    </row>
    <row r="6" spans="1:9" ht="12.75">
      <c r="A6" s="29" t="s">
        <v>213</v>
      </c>
      <c r="B6" s="30">
        <f>B5</f>
        <v>1100000</v>
      </c>
      <c r="C6" s="30"/>
      <c r="D6" s="30">
        <f>D5</f>
        <v>5.1</v>
      </c>
      <c r="E6" s="260">
        <f>E5</f>
        <v>1200000</v>
      </c>
      <c r="F6" s="257">
        <v>2.25</v>
      </c>
      <c r="G6" s="173">
        <f>F6*B6</f>
        <v>2475000</v>
      </c>
      <c r="H6" s="173">
        <f>F6*E6</f>
        <v>2700000</v>
      </c>
      <c r="I6" s="259">
        <f>H6-G6</f>
        <v>225000</v>
      </c>
    </row>
    <row r="7" spans="1:9" ht="12.75">
      <c r="A7" s="29" t="s">
        <v>214</v>
      </c>
      <c r="B7" s="30"/>
      <c r="C7" s="30"/>
      <c r="D7" s="30"/>
      <c r="E7" s="30"/>
      <c r="F7" s="30"/>
      <c r="G7" s="173">
        <f>G5-G6</f>
        <v>3025000</v>
      </c>
      <c r="H7" s="173">
        <f>H5-H6</f>
        <v>3300000</v>
      </c>
      <c r="I7" s="259">
        <f>G7-H7</f>
        <v>-275000</v>
      </c>
    </row>
    <row r="8" spans="1:9" ht="12.75">
      <c r="A8" s="29" t="s">
        <v>215</v>
      </c>
      <c r="B8" s="30">
        <f>B6</f>
        <v>1100000</v>
      </c>
      <c r="C8" s="30"/>
      <c r="D8" s="30">
        <f>D6</f>
        <v>5.1</v>
      </c>
      <c r="E8" s="260">
        <f>E6</f>
        <v>1200000</v>
      </c>
      <c r="F8" s="257">
        <v>0</v>
      </c>
      <c r="G8" s="173">
        <f>F8*B8</f>
        <v>0</v>
      </c>
      <c r="H8" s="173">
        <f>F8*E8</f>
        <v>0</v>
      </c>
      <c r="I8" s="259">
        <f>H8-G8</f>
        <v>0</v>
      </c>
    </row>
    <row r="9" spans="1:9" ht="13.5" thickBot="1">
      <c r="A9" s="34" t="s">
        <v>216</v>
      </c>
      <c r="B9" s="35"/>
      <c r="C9" s="35"/>
      <c r="D9" s="35"/>
      <c r="E9" s="35"/>
      <c r="F9" s="35"/>
      <c r="G9" s="261">
        <f>G7-G8</f>
        <v>3025000</v>
      </c>
      <c r="H9" s="261">
        <f>H7-H8</f>
        <v>3300000</v>
      </c>
      <c r="I9" s="262">
        <f>G9-H9</f>
        <v>-275000</v>
      </c>
    </row>
    <row r="10" spans="1:9" ht="12.75">
      <c r="A10" s="24" t="s">
        <v>288</v>
      </c>
      <c r="B10" s="25"/>
      <c r="C10" s="25"/>
      <c r="D10" s="475" t="s">
        <v>217</v>
      </c>
      <c r="E10" s="475"/>
      <c r="F10" s="475"/>
      <c r="G10" s="264"/>
      <c r="H10" s="264"/>
      <c r="I10" s="265"/>
    </row>
    <row r="11" spans="1:9" ht="13.5" thickBot="1">
      <c r="A11" s="266" t="str">
        <f>CONCATENATE("Kan regnes som ",D5," - ",F5," gange ",B5)</f>
        <v>Kan regnes som 5,1 - 5 gange 1100000</v>
      </c>
      <c r="B11" s="35"/>
      <c r="C11" s="35"/>
      <c r="D11" s="267">
        <f>D5*B5</f>
        <v>5610000</v>
      </c>
      <c r="E11" s="35" t="str">
        <f>CONCATENATE("-  (",B5," * ",F5,")")</f>
        <v>-  (1100000 * 5)</v>
      </c>
      <c r="F11" s="35"/>
      <c r="G11" s="261">
        <f>B5*D5-(B5*F5)</f>
        <v>110000</v>
      </c>
      <c r="H11" s="261"/>
      <c r="I11" s="262">
        <f>G11</f>
        <v>110000</v>
      </c>
    </row>
    <row r="12" spans="1:9" ht="12.75">
      <c r="A12" s="24" t="s">
        <v>289</v>
      </c>
      <c r="B12" s="263" t="s">
        <v>218</v>
      </c>
      <c r="C12" s="263" t="s">
        <v>219</v>
      </c>
      <c r="D12" s="268" t="s">
        <v>220</v>
      </c>
      <c r="E12" s="269" t="s">
        <v>221</v>
      </c>
      <c r="F12" s="269" t="s">
        <v>222</v>
      </c>
      <c r="G12" s="270" t="s">
        <v>223</v>
      </c>
      <c r="H12" s="270" t="s">
        <v>224</v>
      </c>
      <c r="I12" s="265"/>
    </row>
    <row r="13" spans="1:9" ht="12.75">
      <c r="A13" s="271" t="s">
        <v>225</v>
      </c>
      <c r="B13" s="272">
        <v>2.5</v>
      </c>
      <c r="C13" s="272">
        <v>2</v>
      </c>
      <c r="D13" s="272">
        <v>0.45</v>
      </c>
      <c r="E13" s="272">
        <v>0</v>
      </c>
      <c r="F13" s="272">
        <v>0</v>
      </c>
      <c r="G13" s="272">
        <v>0</v>
      </c>
      <c r="H13" s="272">
        <v>0</v>
      </c>
      <c r="I13" s="259"/>
    </row>
    <row r="14" spans="1:9" ht="12.75">
      <c r="A14" s="271" t="s">
        <v>226</v>
      </c>
      <c r="B14" s="272">
        <v>240000</v>
      </c>
      <c r="C14" s="272">
        <v>250000</v>
      </c>
      <c r="D14" s="272">
        <v>576000</v>
      </c>
      <c r="E14" s="272">
        <v>0</v>
      </c>
      <c r="F14" s="272">
        <v>0</v>
      </c>
      <c r="G14" s="272">
        <v>0</v>
      </c>
      <c r="H14" s="272">
        <v>0</v>
      </c>
      <c r="I14" s="259"/>
    </row>
    <row r="15" spans="1:9" ht="12.75">
      <c r="A15" s="271" t="s">
        <v>227</v>
      </c>
      <c r="B15" s="272">
        <v>100000</v>
      </c>
      <c r="C15" s="272">
        <v>120000</v>
      </c>
      <c r="D15" s="272">
        <v>1200000</v>
      </c>
      <c r="E15" s="272">
        <v>0</v>
      </c>
      <c r="F15" s="272">
        <v>0</v>
      </c>
      <c r="G15" s="272">
        <v>0</v>
      </c>
      <c r="H15" s="272">
        <v>0</v>
      </c>
      <c r="I15" s="259"/>
    </row>
    <row r="16" spans="1:9" ht="12.75">
      <c r="A16" s="271" t="s">
        <v>228</v>
      </c>
      <c r="B16" s="273">
        <f aca="true" t="shared" si="0" ref="B16:H16">IF(B15=0,0,B14/B15)</f>
        <v>2.4</v>
      </c>
      <c r="C16" s="273">
        <f t="shared" si="0"/>
        <v>2.0833333333333335</v>
      </c>
      <c r="D16" s="273">
        <f t="shared" si="0"/>
        <v>0.48</v>
      </c>
      <c r="E16" s="273">
        <f t="shared" si="0"/>
        <v>0</v>
      </c>
      <c r="F16" s="273">
        <f t="shared" si="0"/>
        <v>0</v>
      </c>
      <c r="G16" s="273">
        <f t="shared" si="0"/>
        <v>0</v>
      </c>
      <c r="H16" s="273">
        <f t="shared" si="0"/>
        <v>0</v>
      </c>
      <c r="I16" s="259"/>
    </row>
    <row r="17" spans="1:9" ht="12.75">
      <c r="A17" s="271" t="s">
        <v>229</v>
      </c>
      <c r="B17" s="273">
        <f aca="true" t="shared" si="1" ref="B17:H17">B15*B13</f>
        <v>250000</v>
      </c>
      <c r="C17" s="273">
        <f t="shared" si="1"/>
        <v>240000</v>
      </c>
      <c r="D17" s="273">
        <f t="shared" si="1"/>
        <v>540000</v>
      </c>
      <c r="E17" s="273">
        <f t="shared" si="1"/>
        <v>0</v>
      </c>
      <c r="F17" s="273">
        <f t="shared" si="1"/>
        <v>0</v>
      </c>
      <c r="G17" s="273">
        <f t="shared" si="1"/>
        <v>0</v>
      </c>
      <c r="H17" s="273">
        <f t="shared" si="1"/>
        <v>0</v>
      </c>
      <c r="I17" s="259"/>
    </row>
    <row r="18" spans="1:9" ht="13.5" thickBot="1">
      <c r="A18" s="266" t="s">
        <v>211</v>
      </c>
      <c r="B18" s="274">
        <f aca="true" t="shared" si="2" ref="B18:H18">(B13-B16)*B15</f>
        <v>10000.00000000001</v>
      </c>
      <c r="C18" s="274">
        <f t="shared" si="2"/>
        <v>-10000.000000000018</v>
      </c>
      <c r="D18" s="274">
        <f t="shared" si="2"/>
        <v>-35999.99999999996</v>
      </c>
      <c r="E18" s="274">
        <f t="shared" si="2"/>
        <v>0</v>
      </c>
      <c r="F18" s="274">
        <f t="shared" si="2"/>
        <v>0</v>
      </c>
      <c r="G18" s="274">
        <f t="shared" si="2"/>
        <v>0</v>
      </c>
      <c r="H18" s="274">
        <f t="shared" si="2"/>
        <v>0</v>
      </c>
      <c r="I18" s="262">
        <f>SUM(B18:H18)</f>
        <v>-35999.99999999997</v>
      </c>
    </row>
    <row r="19" spans="1:9" ht="12.75">
      <c r="A19" s="24" t="s">
        <v>290</v>
      </c>
      <c r="B19" s="25" t="s">
        <v>230</v>
      </c>
      <c r="C19" s="25" t="s">
        <v>231</v>
      </c>
      <c r="D19" s="25" t="s">
        <v>232</v>
      </c>
      <c r="E19" s="25" t="s">
        <v>233</v>
      </c>
      <c r="F19" s="25" t="s">
        <v>234</v>
      </c>
      <c r="G19" s="25" t="s">
        <v>235</v>
      </c>
      <c r="H19" s="25" t="s">
        <v>236</v>
      </c>
      <c r="I19" s="265"/>
    </row>
    <row r="20" spans="1:9" ht="12.75">
      <c r="A20" s="271" t="s">
        <v>237</v>
      </c>
      <c r="B20" s="272">
        <v>180</v>
      </c>
      <c r="C20" s="272">
        <v>180</v>
      </c>
      <c r="D20" s="272">
        <v>0</v>
      </c>
      <c r="E20" s="272">
        <v>0</v>
      </c>
      <c r="F20" s="272">
        <v>0</v>
      </c>
      <c r="G20" s="272">
        <v>0</v>
      </c>
      <c r="H20" s="272">
        <v>0</v>
      </c>
      <c r="I20" s="259"/>
    </row>
    <row r="21" spans="1:9" ht="12.75">
      <c r="A21" s="271" t="s">
        <v>238</v>
      </c>
      <c r="B21" s="272">
        <v>409500</v>
      </c>
      <c r="C21" s="272">
        <v>605200</v>
      </c>
      <c r="D21" s="272">
        <v>0</v>
      </c>
      <c r="E21" s="272">
        <v>0</v>
      </c>
      <c r="F21" s="272">
        <v>0</v>
      </c>
      <c r="G21" s="272">
        <v>0</v>
      </c>
      <c r="H21" s="272">
        <v>0</v>
      </c>
      <c r="I21" s="259"/>
    </row>
    <row r="22" spans="1:9" ht="12.75">
      <c r="A22" s="271" t="s">
        <v>239</v>
      </c>
      <c r="B22" s="272">
        <v>2250</v>
      </c>
      <c r="C22" s="272">
        <v>3400</v>
      </c>
      <c r="D22" s="272">
        <v>0</v>
      </c>
      <c r="E22" s="272">
        <v>0</v>
      </c>
      <c r="F22" s="272">
        <v>0</v>
      </c>
      <c r="G22" s="272">
        <v>0</v>
      </c>
      <c r="H22" s="272">
        <v>0</v>
      </c>
      <c r="I22" s="259"/>
    </row>
    <row r="23" spans="1:9" ht="12.75">
      <c r="A23" s="271" t="s">
        <v>228</v>
      </c>
      <c r="B23" s="273">
        <f aca="true" t="shared" si="3" ref="B23:H23">IF(B22=0,0,B21/B22)</f>
        <v>182</v>
      </c>
      <c r="C23" s="273">
        <f t="shared" si="3"/>
        <v>178</v>
      </c>
      <c r="D23" s="273">
        <f t="shared" si="3"/>
        <v>0</v>
      </c>
      <c r="E23" s="273">
        <f t="shared" si="3"/>
        <v>0</v>
      </c>
      <c r="F23" s="273">
        <f t="shared" si="3"/>
        <v>0</v>
      </c>
      <c r="G23" s="273">
        <f t="shared" si="3"/>
        <v>0</v>
      </c>
      <c r="H23" s="273">
        <f t="shared" si="3"/>
        <v>0</v>
      </c>
      <c r="I23" s="259"/>
    </row>
    <row r="24" spans="1:9" ht="12.75">
      <c r="A24" s="271" t="s">
        <v>229</v>
      </c>
      <c r="B24" s="273">
        <f aca="true" t="shared" si="4" ref="B24:H24">B22*B20</f>
        <v>405000</v>
      </c>
      <c r="C24" s="273">
        <f t="shared" si="4"/>
        <v>612000</v>
      </c>
      <c r="D24" s="273">
        <f t="shared" si="4"/>
        <v>0</v>
      </c>
      <c r="E24" s="273">
        <f t="shared" si="4"/>
        <v>0</v>
      </c>
      <c r="F24" s="273">
        <f t="shared" si="4"/>
        <v>0</v>
      </c>
      <c r="G24" s="273">
        <f t="shared" si="4"/>
        <v>0</v>
      </c>
      <c r="H24" s="273">
        <f t="shared" si="4"/>
        <v>0</v>
      </c>
      <c r="I24" s="259"/>
    </row>
    <row r="25" spans="1:9" ht="13.5" thickBot="1">
      <c r="A25" s="266" t="s">
        <v>211</v>
      </c>
      <c r="B25" s="274">
        <f aca="true" t="shared" si="5" ref="B25:H25">(B20-B23)*B22</f>
        <v>-4500</v>
      </c>
      <c r="C25" s="274">
        <f t="shared" si="5"/>
        <v>6800</v>
      </c>
      <c r="D25" s="274">
        <f t="shared" si="5"/>
        <v>0</v>
      </c>
      <c r="E25" s="274">
        <f t="shared" si="5"/>
        <v>0</v>
      </c>
      <c r="F25" s="274">
        <f t="shared" si="5"/>
        <v>0</v>
      </c>
      <c r="G25" s="274">
        <f t="shared" si="5"/>
        <v>0</v>
      </c>
      <c r="H25" s="274">
        <f t="shared" si="5"/>
        <v>0</v>
      </c>
      <c r="I25" s="262">
        <f>SUM(B25:H25)</f>
        <v>2300</v>
      </c>
    </row>
    <row r="26" spans="1:9" ht="12.75">
      <c r="A26" s="24" t="s">
        <v>240</v>
      </c>
      <c r="B26" s="275" t="str">
        <f aca="true" t="shared" si="6" ref="B26:H26">B12</f>
        <v>Ekstrakt A</v>
      </c>
      <c r="C26" s="275" t="str">
        <f t="shared" si="6"/>
        <v>Ekstrakt B</v>
      </c>
      <c r="D26" s="276" t="str">
        <f t="shared" si="6"/>
        <v>Emballage</v>
      </c>
      <c r="E26" s="253" t="str">
        <f t="shared" si="6"/>
        <v>x</v>
      </c>
      <c r="F26" s="253" t="str">
        <f t="shared" si="6"/>
        <v>y</v>
      </c>
      <c r="G26" s="253" t="str">
        <f t="shared" si="6"/>
        <v>z</v>
      </c>
      <c r="H26" s="253" t="str">
        <f t="shared" si="6"/>
        <v>q</v>
      </c>
      <c r="I26" s="265"/>
    </row>
    <row r="27" spans="1:9" ht="12.75">
      <c r="A27" s="29" t="s">
        <v>241</v>
      </c>
      <c r="B27" s="277">
        <v>20000</v>
      </c>
      <c r="C27" s="277">
        <v>15000</v>
      </c>
      <c r="D27" s="277">
        <v>15000</v>
      </c>
      <c r="E27" s="277">
        <v>0</v>
      </c>
      <c r="F27" s="277">
        <v>0</v>
      </c>
      <c r="G27" s="277">
        <v>0</v>
      </c>
      <c r="H27" s="277">
        <v>0</v>
      </c>
      <c r="I27" s="259"/>
    </row>
    <row r="28" spans="1:9" ht="12.75">
      <c r="A28" s="278" t="s">
        <v>242</v>
      </c>
      <c r="B28" s="277">
        <v>100000</v>
      </c>
      <c r="C28" s="277">
        <v>120000</v>
      </c>
      <c r="D28" s="277">
        <v>1200000</v>
      </c>
      <c r="E28" s="277">
        <v>0</v>
      </c>
      <c r="F28" s="277">
        <v>0</v>
      </c>
      <c r="G28" s="277">
        <v>0</v>
      </c>
      <c r="H28" s="277">
        <v>0</v>
      </c>
      <c r="I28" s="259"/>
    </row>
    <row r="29" spans="1:9" ht="12.75">
      <c r="A29" s="278" t="s">
        <v>243</v>
      </c>
      <c r="B29" s="277">
        <v>90000</v>
      </c>
      <c r="C29" s="277">
        <v>110000</v>
      </c>
      <c r="D29" s="277">
        <v>1050000</v>
      </c>
      <c r="E29" s="277">
        <v>0</v>
      </c>
      <c r="F29" s="277">
        <v>0</v>
      </c>
      <c r="G29" s="277">
        <v>0</v>
      </c>
      <c r="H29" s="277">
        <v>0</v>
      </c>
      <c r="I29" s="259"/>
    </row>
    <row r="30" spans="1:9" ht="12.75">
      <c r="A30" s="278" t="s">
        <v>244</v>
      </c>
      <c r="B30" s="279">
        <f aca="true" t="shared" si="7" ref="B30:H30">B27+B28-B29</f>
        <v>30000</v>
      </c>
      <c r="C30" s="279">
        <f t="shared" si="7"/>
        <v>25000</v>
      </c>
      <c r="D30" s="279">
        <f t="shared" si="7"/>
        <v>165000</v>
      </c>
      <c r="E30" s="279">
        <f t="shared" si="7"/>
        <v>0</v>
      </c>
      <c r="F30" s="279">
        <f t="shared" si="7"/>
        <v>0</v>
      </c>
      <c r="G30" s="279">
        <f t="shared" si="7"/>
        <v>0</v>
      </c>
      <c r="H30" s="279">
        <f t="shared" si="7"/>
        <v>0</v>
      </c>
      <c r="I30" s="259"/>
    </row>
    <row r="31" spans="1:9" ht="12.75">
      <c r="A31" s="278" t="s">
        <v>245</v>
      </c>
      <c r="B31" s="277">
        <v>28000</v>
      </c>
      <c r="C31" s="277">
        <v>25000</v>
      </c>
      <c r="D31" s="277">
        <v>163000</v>
      </c>
      <c r="E31" s="277">
        <v>0</v>
      </c>
      <c r="F31" s="277">
        <v>0</v>
      </c>
      <c r="G31" s="277">
        <v>0</v>
      </c>
      <c r="H31" s="277">
        <v>0</v>
      </c>
      <c r="I31" s="259"/>
    </row>
    <row r="32" spans="1:9" ht="12.75">
      <c r="A32" s="278" t="s">
        <v>246</v>
      </c>
      <c r="B32" s="279">
        <f aca="true" t="shared" si="8" ref="B32:H32">B31-B30</f>
        <v>-2000</v>
      </c>
      <c r="C32" s="279">
        <f t="shared" si="8"/>
        <v>0</v>
      </c>
      <c r="D32" s="279">
        <f t="shared" si="8"/>
        <v>-2000</v>
      </c>
      <c r="E32" s="279">
        <f t="shared" si="8"/>
        <v>0</v>
      </c>
      <c r="F32" s="279">
        <f t="shared" si="8"/>
        <v>0</v>
      </c>
      <c r="G32" s="279">
        <f t="shared" si="8"/>
        <v>0</v>
      </c>
      <c r="H32" s="279">
        <f t="shared" si="8"/>
        <v>0</v>
      </c>
      <c r="I32" s="259"/>
    </row>
    <row r="33" spans="1:9" ht="12.75">
      <c r="A33" s="278" t="s">
        <v>247</v>
      </c>
      <c r="B33" s="277">
        <v>2.5</v>
      </c>
      <c r="C33" s="277">
        <v>2</v>
      </c>
      <c r="D33" s="280">
        <v>0.45</v>
      </c>
      <c r="E33" s="280">
        <v>0</v>
      </c>
      <c r="F33" s="280">
        <v>0</v>
      </c>
      <c r="G33" s="280">
        <v>0</v>
      </c>
      <c r="H33" s="280">
        <v>0</v>
      </c>
      <c r="I33" s="259"/>
    </row>
    <row r="34" spans="1:9" ht="13.5" thickBot="1">
      <c r="A34" s="281" t="s">
        <v>248</v>
      </c>
      <c r="B34" s="282">
        <f aca="true" t="shared" si="9" ref="B34:H34">B33*B32</f>
        <v>-5000</v>
      </c>
      <c r="C34" s="282">
        <f t="shared" si="9"/>
        <v>0</v>
      </c>
      <c r="D34" s="282">
        <f t="shared" si="9"/>
        <v>-900</v>
      </c>
      <c r="E34" s="282">
        <f t="shared" si="9"/>
        <v>0</v>
      </c>
      <c r="F34" s="282">
        <f t="shared" si="9"/>
        <v>0</v>
      </c>
      <c r="G34" s="282">
        <f t="shared" si="9"/>
        <v>0</v>
      </c>
      <c r="H34" s="282">
        <f t="shared" si="9"/>
        <v>0</v>
      </c>
      <c r="I34" s="262">
        <f>SUM(B34:H34)</f>
        <v>-5900</v>
      </c>
    </row>
    <row r="35" spans="1:9" ht="12.75">
      <c r="A35" s="283" t="s">
        <v>249</v>
      </c>
      <c r="C35" t="str">
        <f>B12</f>
        <v>Ekstrakt A</v>
      </c>
      <c r="D35" s="25" t="str">
        <f>C12</f>
        <v>Ekstrakt B</v>
      </c>
      <c r="E35" s="25" t="s">
        <v>250</v>
      </c>
      <c r="F35" s="25" t="s">
        <v>43</v>
      </c>
      <c r="G35" s="25" t="s">
        <v>43</v>
      </c>
      <c r="H35" s="284" t="s">
        <v>251</v>
      </c>
      <c r="I35" s="265"/>
    </row>
    <row r="36" spans="1:9" ht="12.75">
      <c r="A36" s="285" t="str">
        <f>A27</f>
        <v>Primo</v>
      </c>
      <c r="B36" s="286">
        <v>0</v>
      </c>
      <c r="C36" s="286">
        <v>0</v>
      </c>
      <c r="D36" s="287">
        <v>0</v>
      </c>
      <c r="E36" s="287">
        <v>0</v>
      </c>
      <c r="F36" s="287">
        <v>0</v>
      </c>
      <c r="G36" s="287">
        <v>0</v>
      </c>
      <c r="H36" s="288">
        <v>0</v>
      </c>
      <c r="I36" s="289"/>
    </row>
    <row r="37" spans="1:9" ht="12.75">
      <c r="A37" s="285" t="str">
        <f>A28</f>
        <v>+ tilgang</v>
      </c>
      <c r="B37" s="290">
        <v>0</v>
      </c>
      <c r="C37" s="290">
        <v>90000</v>
      </c>
      <c r="D37" s="291">
        <v>110000</v>
      </c>
      <c r="E37" s="290">
        <v>80000</v>
      </c>
      <c r="F37" s="290">
        <v>0</v>
      </c>
      <c r="G37" s="290">
        <v>0</v>
      </c>
      <c r="H37" s="290">
        <v>2130</v>
      </c>
      <c r="I37" s="259"/>
    </row>
    <row r="38" spans="1:9" ht="12.75">
      <c r="A38" s="285" t="s">
        <v>252</v>
      </c>
      <c r="B38" s="291">
        <v>275000</v>
      </c>
      <c r="C38" s="292">
        <f aca="true" t="shared" si="10" ref="C38:H38">C45*$B$38</f>
        <v>88000</v>
      </c>
      <c r="D38" s="292">
        <f t="shared" si="10"/>
        <v>110000</v>
      </c>
      <c r="E38" s="292">
        <f t="shared" si="10"/>
        <v>77000.00000000001</v>
      </c>
      <c r="F38" s="292">
        <f t="shared" si="10"/>
        <v>0</v>
      </c>
      <c r="G38" s="292">
        <f t="shared" si="10"/>
        <v>0</v>
      </c>
      <c r="H38" s="292">
        <f t="shared" si="10"/>
        <v>2200</v>
      </c>
      <c r="I38" s="259"/>
    </row>
    <row r="39" spans="1:9" ht="12.75">
      <c r="A39" s="285" t="str">
        <f>A30</f>
        <v>Ultimo beholdning</v>
      </c>
      <c r="B39" s="293">
        <f aca="true" t="shared" si="11" ref="B39:H39">B36+B37-B38</f>
        <v>-275000</v>
      </c>
      <c r="C39" s="293">
        <f t="shared" si="11"/>
        <v>2000</v>
      </c>
      <c r="D39" s="293">
        <f t="shared" si="11"/>
        <v>0</v>
      </c>
      <c r="E39" s="288">
        <f t="shared" si="11"/>
        <v>2999.9999999999854</v>
      </c>
      <c r="F39" s="288">
        <f t="shared" si="11"/>
        <v>0</v>
      </c>
      <c r="G39" s="288">
        <f t="shared" si="11"/>
        <v>0</v>
      </c>
      <c r="H39" s="288">
        <f t="shared" si="11"/>
        <v>-70</v>
      </c>
      <c r="I39" s="259"/>
    </row>
    <row r="40" spans="1:9" ht="12.75">
      <c r="A40" s="285" t="str">
        <f>A31</f>
        <v>Faktisk ultimobeholdning</v>
      </c>
      <c r="B40" s="291">
        <v>275000</v>
      </c>
      <c r="C40" s="291">
        <v>0</v>
      </c>
      <c r="D40" s="291">
        <v>0</v>
      </c>
      <c r="E40" s="291">
        <v>0</v>
      </c>
      <c r="F40" s="291">
        <v>0</v>
      </c>
      <c r="G40" s="291">
        <v>0</v>
      </c>
      <c r="H40" s="291">
        <v>0</v>
      </c>
      <c r="I40" s="259"/>
    </row>
    <row r="41" spans="1:9" ht="12.75">
      <c r="A41" s="285" t="str">
        <f>A32</f>
        <v>Afvigelse i mængde</v>
      </c>
      <c r="B41" s="294"/>
      <c r="C41" s="294">
        <f aca="true" t="shared" si="12" ref="C41:H41">C40-C39</f>
        <v>-2000</v>
      </c>
      <c r="D41" s="293">
        <f t="shared" si="12"/>
        <v>0</v>
      </c>
      <c r="E41" s="293">
        <f t="shared" si="12"/>
        <v>-2999.9999999999854</v>
      </c>
      <c r="F41" s="288">
        <f t="shared" si="12"/>
        <v>0</v>
      </c>
      <c r="G41" s="288">
        <f t="shared" si="12"/>
        <v>0</v>
      </c>
      <c r="H41" s="288">
        <f t="shared" si="12"/>
        <v>70</v>
      </c>
      <c r="I41" s="259"/>
    </row>
    <row r="42" spans="1:9" ht="12.75">
      <c r="A42" s="295" t="s">
        <v>253</v>
      </c>
      <c r="B42" s="296">
        <v>0.05</v>
      </c>
      <c r="C42" s="294">
        <f>$B$42*C38</f>
        <v>4400</v>
      </c>
      <c r="D42" s="294">
        <f>$B$42*D38</f>
        <v>5500</v>
      </c>
      <c r="E42" s="294">
        <v>0</v>
      </c>
      <c r="F42" s="294">
        <v>0</v>
      </c>
      <c r="G42" s="294">
        <v>0</v>
      </c>
      <c r="H42" s="294">
        <v>0</v>
      </c>
      <c r="I42" s="259"/>
    </row>
    <row r="43" spans="1:9" ht="12.75">
      <c r="A43" s="285" t="s">
        <v>254</v>
      </c>
      <c r="B43" s="297"/>
      <c r="C43" s="294">
        <f>C41+C42</f>
        <v>2400</v>
      </c>
      <c r="D43" s="294">
        <f>D41+D42</f>
        <v>5500</v>
      </c>
      <c r="E43" s="294">
        <v>0</v>
      </c>
      <c r="F43" s="294">
        <v>0</v>
      </c>
      <c r="G43" s="294">
        <v>0</v>
      </c>
      <c r="H43" s="294">
        <v>0</v>
      </c>
      <c r="I43" s="259"/>
    </row>
    <row r="44" spans="1:9" ht="12.75">
      <c r="A44" s="285" t="str">
        <f>A33</f>
        <v>Standardpris</v>
      </c>
      <c r="B44" s="298">
        <v>0.92</v>
      </c>
      <c r="C44" s="299">
        <v>2.5</v>
      </c>
      <c r="D44" s="290">
        <v>2</v>
      </c>
      <c r="E44" s="290">
        <v>2</v>
      </c>
      <c r="F44" s="290">
        <v>0</v>
      </c>
      <c r="G44" s="290">
        <f>F33</f>
        <v>0</v>
      </c>
      <c r="H44" s="290">
        <v>180</v>
      </c>
      <c r="I44" s="259"/>
    </row>
    <row r="45" spans="1:9" ht="12.75">
      <c r="A45" s="285" t="s">
        <v>255</v>
      </c>
      <c r="B45" s="300"/>
      <c r="C45" s="301">
        <v>0.32</v>
      </c>
      <c r="D45" s="302">
        <f>0.4</f>
        <v>0.4</v>
      </c>
      <c r="E45" s="303">
        <v>0.28</v>
      </c>
      <c r="F45" s="303">
        <v>0</v>
      </c>
      <c r="G45" s="290">
        <v>0</v>
      </c>
      <c r="H45" s="302">
        <v>0.008</v>
      </c>
      <c r="I45" s="259"/>
    </row>
    <row r="46" spans="1:9" ht="12.75">
      <c r="A46" s="285" t="s">
        <v>256</v>
      </c>
      <c r="B46" s="304"/>
      <c r="C46" s="305">
        <f aca="true" t="shared" si="13" ref="C46:H46">(C36+C37-C40)/$B$38</f>
        <v>0.32727272727272727</v>
      </c>
      <c r="D46" s="305">
        <f t="shared" si="13"/>
        <v>0.4</v>
      </c>
      <c r="E46" s="305">
        <f t="shared" si="13"/>
        <v>0.2909090909090909</v>
      </c>
      <c r="F46" s="305">
        <f t="shared" si="13"/>
        <v>0</v>
      </c>
      <c r="G46" s="305">
        <f t="shared" si="13"/>
        <v>0</v>
      </c>
      <c r="H46" s="305">
        <f t="shared" si="13"/>
        <v>0.007745454545454546</v>
      </c>
      <c r="I46" s="259"/>
    </row>
    <row r="47" spans="1:9" ht="13.5" thickBot="1">
      <c r="A47" s="281" t="s">
        <v>257</v>
      </c>
      <c r="B47" s="306"/>
      <c r="C47" s="306">
        <f>C44*C43</f>
        <v>6000</v>
      </c>
      <c r="D47" s="306">
        <f>D44*D43</f>
        <v>11000</v>
      </c>
      <c r="E47" s="307">
        <f>E44*E41</f>
        <v>-5999.999999999971</v>
      </c>
      <c r="F47" s="307">
        <f>F44*F41</f>
        <v>0</v>
      </c>
      <c r="G47" s="307">
        <f>G44*G41</f>
        <v>0</v>
      </c>
      <c r="H47" s="307">
        <f>H44*H41</f>
        <v>12600</v>
      </c>
      <c r="I47" s="262">
        <f>SUM(C47:H47)</f>
        <v>23600.00000000003</v>
      </c>
    </row>
    <row r="48" spans="1:9" ht="12.75">
      <c r="A48" s="283" t="s">
        <v>258</v>
      </c>
      <c r="C48" t="s">
        <v>259</v>
      </c>
      <c r="D48" s="25" t="s">
        <v>220</v>
      </c>
      <c r="E48" s="25"/>
      <c r="F48" s="25"/>
      <c r="G48" s="25"/>
      <c r="H48" s="284" t="s">
        <v>251</v>
      </c>
      <c r="I48" s="265"/>
    </row>
    <row r="49" spans="1:9" ht="12.75">
      <c r="A49" s="285" t="s">
        <v>241</v>
      </c>
      <c r="B49" s="286">
        <v>0</v>
      </c>
      <c r="C49" s="286">
        <v>0</v>
      </c>
      <c r="D49" s="287">
        <v>0</v>
      </c>
      <c r="E49" s="287">
        <v>0</v>
      </c>
      <c r="F49" s="287">
        <v>0</v>
      </c>
      <c r="G49" s="287">
        <v>0</v>
      </c>
      <c r="H49" s="288">
        <v>0</v>
      </c>
      <c r="I49" s="289"/>
    </row>
    <row r="50" spans="1:9" ht="12.75">
      <c r="A50" s="295" t="s">
        <v>260</v>
      </c>
      <c r="B50" s="291">
        <v>1050000</v>
      </c>
      <c r="C50" s="290">
        <f>275000*4</f>
        <v>1100000</v>
      </c>
      <c r="D50" s="291">
        <v>1050000</v>
      </c>
      <c r="E50" s="290">
        <v>0</v>
      </c>
      <c r="F50" s="290">
        <v>0</v>
      </c>
      <c r="G50" s="290">
        <v>0</v>
      </c>
      <c r="H50" s="290">
        <v>3200</v>
      </c>
      <c r="I50" s="259"/>
    </row>
    <row r="51" spans="1:9" ht="12.75">
      <c r="A51" s="285" t="s">
        <v>252</v>
      </c>
      <c r="B51" s="291">
        <v>1050000</v>
      </c>
      <c r="C51" s="291">
        <v>1050000</v>
      </c>
      <c r="D51" s="291">
        <v>1050000</v>
      </c>
      <c r="E51" s="291">
        <v>0</v>
      </c>
      <c r="F51" s="291">
        <f>F58*$B$38</f>
        <v>0</v>
      </c>
      <c r="G51" s="291">
        <f>G58*$B$38</f>
        <v>0</v>
      </c>
      <c r="H51" s="292">
        <f>H58*$B$51</f>
        <v>3150</v>
      </c>
      <c r="I51" s="259"/>
    </row>
    <row r="52" spans="1:9" ht="12.75">
      <c r="A52" s="285" t="s">
        <v>244</v>
      </c>
      <c r="B52" s="293">
        <f aca="true" t="shared" si="14" ref="B52:H52">B49+B50-B51</f>
        <v>0</v>
      </c>
      <c r="C52" s="293">
        <f t="shared" si="14"/>
        <v>50000</v>
      </c>
      <c r="D52" s="293">
        <f t="shared" si="14"/>
        <v>0</v>
      </c>
      <c r="E52" s="288">
        <f t="shared" si="14"/>
        <v>0</v>
      </c>
      <c r="F52" s="288">
        <f t="shared" si="14"/>
        <v>0</v>
      </c>
      <c r="G52" s="288">
        <f t="shared" si="14"/>
        <v>0</v>
      </c>
      <c r="H52" s="288">
        <f t="shared" si="14"/>
        <v>50</v>
      </c>
      <c r="I52" s="259"/>
    </row>
    <row r="53" spans="1:9" ht="12.75">
      <c r="A53" s="285" t="s">
        <v>261</v>
      </c>
      <c r="B53" s="291">
        <v>0</v>
      </c>
      <c r="C53" s="291">
        <v>0</v>
      </c>
      <c r="D53" s="291">
        <v>0</v>
      </c>
      <c r="E53" s="291">
        <v>0</v>
      </c>
      <c r="F53" s="291">
        <v>0</v>
      </c>
      <c r="G53" s="291">
        <v>0</v>
      </c>
      <c r="H53" s="291">
        <v>0</v>
      </c>
      <c r="I53" s="259"/>
    </row>
    <row r="54" spans="1:9" ht="12.75">
      <c r="A54" s="285" t="s">
        <v>246</v>
      </c>
      <c r="B54" s="294"/>
      <c r="C54" s="294">
        <f aca="true" t="shared" si="15" ref="C54:H54">C53-C52</f>
        <v>-50000</v>
      </c>
      <c r="D54" s="293">
        <f t="shared" si="15"/>
        <v>0</v>
      </c>
      <c r="E54" s="293">
        <f t="shared" si="15"/>
        <v>0</v>
      </c>
      <c r="F54" s="288">
        <f t="shared" si="15"/>
        <v>0</v>
      </c>
      <c r="G54" s="288">
        <f t="shared" si="15"/>
        <v>0</v>
      </c>
      <c r="H54" s="288">
        <f t="shared" si="15"/>
        <v>-50</v>
      </c>
      <c r="I54" s="259"/>
    </row>
    <row r="55" spans="1:9" ht="12.75">
      <c r="A55" s="295" t="s">
        <v>253</v>
      </c>
      <c r="B55" s="296">
        <v>0.05</v>
      </c>
      <c r="C55" s="294">
        <f>$B$42*C51</f>
        <v>52500</v>
      </c>
      <c r="D55" s="294">
        <v>0</v>
      </c>
      <c r="E55" s="294">
        <v>0</v>
      </c>
      <c r="F55" s="294">
        <v>0</v>
      </c>
      <c r="G55" s="294">
        <v>0</v>
      </c>
      <c r="H55" s="294">
        <v>0</v>
      </c>
      <c r="I55" s="259"/>
    </row>
    <row r="56" spans="1:10" ht="12.75">
      <c r="A56" s="285" t="s">
        <v>254</v>
      </c>
      <c r="B56" s="297"/>
      <c r="C56" s="294">
        <f>C54+C55</f>
        <v>2500</v>
      </c>
      <c r="D56" s="294">
        <v>0</v>
      </c>
      <c r="E56" s="294">
        <v>0</v>
      </c>
      <c r="F56" s="294">
        <v>0</v>
      </c>
      <c r="G56" s="294">
        <v>0</v>
      </c>
      <c r="H56" s="294">
        <v>0</v>
      </c>
      <c r="I56" s="259"/>
      <c r="J56" s="308"/>
    </row>
    <row r="57" spans="1:9" ht="12.75">
      <c r="A57" s="285" t="s">
        <v>262</v>
      </c>
      <c r="B57" s="309">
        <v>1.956</v>
      </c>
      <c r="C57" s="298">
        <v>0.92</v>
      </c>
      <c r="D57" s="290">
        <v>0.45</v>
      </c>
      <c r="E57" s="290">
        <v>0</v>
      </c>
      <c r="F57" s="290">
        <v>0</v>
      </c>
      <c r="G57" s="290">
        <f>F46</f>
        <v>0</v>
      </c>
      <c r="H57" s="290">
        <v>180</v>
      </c>
      <c r="I57" s="259"/>
    </row>
    <row r="58" spans="1:9" ht="12.75">
      <c r="A58" s="285" t="s">
        <v>255</v>
      </c>
      <c r="B58" s="300"/>
      <c r="C58" s="301">
        <v>4</v>
      </c>
      <c r="D58" s="302">
        <f>0.4</f>
        <v>0.4</v>
      </c>
      <c r="E58" s="303">
        <v>0</v>
      </c>
      <c r="F58" s="303">
        <v>0</v>
      </c>
      <c r="G58" s="290">
        <v>0</v>
      </c>
      <c r="H58" s="310">
        <f>0.012/4</f>
        <v>0.003</v>
      </c>
      <c r="I58" s="259"/>
    </row>
    <row r="59" spans="1:9" ht="13.5" thickBot="1">
      <c r="A59" s="281" t="s">
        <v>257</v>
      </c>
      <c r="B59" s="306"/>
      <c r="C59" s="306">
        <f>C57*C56</f>
        <v>2300</v>
      </c>
      <c r="D59" s="306">
        <f>D57*D56</f>
        <v>0</v>
      </c>
      <c r="E59" s="307">
        <f>E57*E54</f>
        <v>0</v>
      </c>
      <c r="F59" s="307">
        <f>F57*F54</f>
        <v>0</v>
      </c>
      <c r="G59" s="307">
        <f>G57*G54</f>
        <v>0</v>
      </c>
      <c r="H59" s="307">
        <f>H57*H54</f>
        <v>-9000</v>
      </c>
      <c r="I59" s="262">
        <f>SUM(C59:H59)</f>
        <v>-6700</v>
      </c>
    </row>
    <row r="60" spans="1:9" ht="12.75">
      <c r="A60" s="473" t="s">
        <v>263</v>
      </c>
      <c r="B60" s="474"/>
      <c r="C60" s="474"/>
      <c r="D60" s="25"/>
      <c r="E60" s="25"/>
      <c r="F60" s="25"/>
      <c r="G60" s="25"/>
      <c r="H60" s="25"/>
      <c r="I60" s="265"/>
    </row>
    <row r="61" spans="1:9" ht="12.75">
      <c r="A61" s="312" t="str">
        <f>A27</f>
        <v>Primo</v>
      </c>
      <c r="B61" s="313"/>
      <c r="C61" s="277">
        <v>63000</v>
      </c>
      <c r="D61" s="30"/>
      <c r="E61" s="30"/>
      <c r="F61" s="30"/>
      <c r="G61" s="30"/>
      <c r="H61" s="30"/>
      <c r="I61" s="259"/>
    </row>
    <row r="62" spans="1:9" ht="12.75">
      <c r="A62" s="312" t="str">
        <f>A28</f>
        <v>+ tilgang</v>
      </c>
      <c r="B62" s="313"/>
      <c r="C62" s="277">
        <v>1050000</v>
      </c>
      <c r="D62" s="30"/>
      <c r="E62" s="30"/>
      <c r="F62" s="30"/>
      <c r="G62" s="30"/>
      <c r="H62" s="30"/>
      <c r="I62" s="259"/>
    </row>
    <row r="63" spans="1:9" ht="12.75">
      <c r="A63" s="312" t="str">
        <f>CONCATENATE(A29,", solgt")</f>
        <v>- afgang, solgt</v>
      </c>
      <c r="B63" s="313"/>
      <c r="C63" s="279">
        <f>B5</f>
        <v>1100000</v>
      </c>
      <c r="D63" s="30"/>
      <c r="E63" s="30"/>
      <c r="F63" s="30"/>
      <c r="G63" s="30"/>
      <c r="H63" s="30"/>
      <c r="I63" s="259"/>
    </row>
    <row r="64" spans="1:9" ht="12.75">
      <c r="A64" s="312" t="s">
        <v>264</v>
      </c>
      <c r="B64" s="313"/>
      <c r="C64" s="314">
        <f>C61+C62-C63</f>
        <v>13000</v>
      </c>
      <c r="D64" s="30"/>
      <c r="E64" s="30"/>
      <c r="F64" s="30"/>
      <c r="G64" s="30"/>
      <c r="H64" s="30"/>
      <c r="I64" s="259"/>
    </row>
    <row r="65" spans="1:9" ht="12.75">
      <c r="A65" s="312" t="s">
        <v>265</v>
      </c>
      <c r="B65" s="313"/>
      <c r="C65" s="277">
        <v>12000</v>
      </c>
      <c r="D65" s="30"/>
      <c r="E65" s="30"/>
      <c r="F65" s="30"/>
      <c r="G65" s="30"/>
      <c r="H65" s="30"/>
      <c r="I65" s="259"/>
    </row>
    <row r="66" spans="1:9" ht="12.75">
      <c r="A66" s="312" t="s">
        <v>266</v>
      </c>
      <c r="B66" s="313"/>
      <c r="C66" s="279">
        <f>C65-C64</f>
        <v>-1000</v>
      </c>
      <c r="D66" s="30"/>
      <c r="E66" s="30"/>
      <c r="F66" s="30"/>
      <c r="G66" s="30"/>
      <c r="H66" s="30"/>
      <c r="I66" s="259"/>
    </row>
    <row r="67" spans="1:9" ht="12.75">
      <c r="A67" s="312" t="s">
        <v>247</v>
      </c>
      <c r="B67" s="315"/>
      <c r="C67" s="316">
        <v>1.956</v>
      </c>
      <c r="D67" s="30"/>
      <c r="E67" s="30"/>
      <c r="F67" s="30"/>
      <c r="G67" s="30"/>
      <c r="H67" s="30"/>
      <c r="I67" s="259"/>
    </row>
    <row r="68" spans="1:9" ht="13.5" thickBot="1">
      <c r="A68" s="317" t="str">
        <f>A34</f>
        <v>Afvigelse i kr.</v>
      </c>
      <c r="B68" s="318"/>
      <c r="C68" s="282">
        <f>C66*C67</f>
        <v>-1956</v>
      </c>
      <c r="D68" s="35"/>
      <c r="E68" s="35"/>
      <c r="F68" s="35"/>
      <c r="G68" s="35"/>
      <c r="H68" s="35"/>
      <c r="I68" s="262">
        <f>SUM(B68:H68)</f>
        <v>-1956</v>
      </c>
    </row>
    <row r="69" spans="1:9" ht="12.75">
      <c r="A69" s="319" t="s">
        <v>267</v>
      </c>
      <c r="I69" s="320">
        <f>SUM(I9:I68)</f>
        <v>-189655.99999999994</v>
      </c>
    </row>
    <row r="70" spans="1:9" ht="12.75">
      <c r="A70" s="319" t="s">
        <v>268</v>
      </c>
      <c r="I70" s="320">
        <f>H9</f>
        <v>3300000</v>
      </c>
    </row>
    <row r="71" spans="1:9" ht="12.75">
      <c r="A71" s="319" t="s">
        <v>287</v>
      </c>
      <c r="I71" s="320">
        <f>I69+I70</f>
        <v>3110344</v>
      </c>
    </row>
    <row r="79" ht="13.5" thickBot="1"/>
    <row r="80" spans="1:9" ht="12.75">
      <c r="A80" s="321" t="str">
        <f>A12</f>
        <v>Indkøbsprisafvigelse: 5.1</v>
      </c>
      <c r="B80" s="25"/>
      <c r="C80" s="25"/>
      <c r="D80" s="25" t="str">
        <f>D35</f>
        <v>Ekstrakt B</v>
      </c>
      <c r="E80" s="25" t="str">
        <f>E35</f>
        <v>Vand</v>
      </c>
      <c r="F80" s="25" t="str">
        <f>F35</f>
        <v>-</v>
      </c>
      <c r="G80" s="311" t="str">
        <f>G35</f>
        <v>-</v>
      </c>
      <c r="H80" s="311"/>
      <c r="I80" s="322" t="s">
        <v>142</v>
      </c>
    </row>
    <row r="81" spans="1:9" ht="12.75">
      <c r="A81" s="323" t="s">
        <v>269</v>
      </c>
      <c r="B81" s="30"/>
      <c r="C81" s="30"/>
      <c r="D81" s="290">
        <v>1968000</v>
      </c>
      <c r="E81" s="290">
        <v>900000</v>
      </c>
      <c r="F81" s="290">
        <v>52500</v>
      </c>
      <c r="G81" s="290">
        <v>0</v>
      </c>
      <c r="H81" s="288"/>
      <c r="I81" s="324"/>
    </row>
    <row r="82" spans="1:9" ht="12.75">
      <c r="A82" s="323" t="s">
        <v>270</v>
      </c>
      <c r="B82" s="30"/>
      <c r="C82" s="30"/>
      <c r="D82" s="290">
        <v>24000</v>
      </c>
      <c r="E82" s="290">
        <v>10000</v>
      </c>
      <c r="F82" s="290">
        <v>105000</v>
      </c>
      <c r="G82" s="290">
        <v>0</v>
      </c>
      <c r="H82" s="288"/>
      <c r="I82" s="324"/>
    </row>
    <row r="83" spans="1:9" ht="12.75">
      <c r="A83" s="323" t="s">
        <v>271</v>
      </c>
      <c r="B83" s="30"/>
      <c r="C83" s="30"/>
      <c r="D83" s="288">
        <f>D82*B33</f>
        <v>60000</v>
      </c>
      <c r="E83" s="288">
        <f>E82*D33</f>
        <v>4500</v>
      </c>
      <c r="F83" s="288">
        <f>F82*E33</f>
        <v>0</v>
      </c>
      <c r="G83" s="288">
        <f>G82*F33</f>
        <v>0</v>
      </c>
      <c r="H83" s="288"/>
      <c r="I83" s="324"/>
    </row>
    <row r="84" spans="1:9" ht="12.75">
      <c r="A84" s="323" t="s">
        <v>247</v>
      </c>
      <c r="B84" s="30"/>
      <c r="C84" s="30"/>
      <c r="D84" s="288">
        <f>B33</f>
        <v>2.5</v>
      </c>
      <c r="E84" s="288">
        <f>D33</f>
        <v>0.45</v>
      </c>
      <c r="F84" s="288">
        <f>E33</f>
        <v>0</v>
      </c>
      <c r="G84" s="288">
        <f>F33</f>
        <v>0</v>
      </c>
      <c r="H84" s="288"/>
      <c r="I84" s="324"/>
    </row>
    <row r="85" spans="1:9" ht="12.75">
      <c r="A85" s="323" t="s">
        <v>272</v>
      </c>
      <c r="B85" s="30"/>
      <c r="C85" s="30"/>
      <c r="D85" s="288">
        <f>IF(D81=0,0,D81/D82)</f>
        <v>82</v>
      </c>
      <c r="E85" s="288">
        <f>IF(E81=0,0,E81/E82)</f>
        <v>90</v>
      </c>
      <c r="F85" s="288">
        <f>IF(F81=0,0,F81/F82)</f>
        <v>0.5</v>
      </c>
      <c r="G85" s="288">
        <f>IF(G81=0,0,G81/G82)</f>
        <v>0</v>
      </c>
      <c r="H85" s="288"/>
      <c r="I85" s="324"/>
    </row>
    <row r="86" spans="1:9" ht="13.5" thickBot="1">
      <c r="A86" s="325" t="s">
        <v>257</v>
      </c>
      <c r="B86" s="35"/>
      <c r="C86" s="35"/>
      <c r="D86" s="306">
        <f>D83-D81</f>
        <v>-1908000</v>
      </c>
      <c r="E86" s="306">
        <f>E83-E81</f>
        <v>-895500</v>
      </c>
      <c r="F86" s="306">
        <f>F83-F81</f>
        <v>-52500</v>
      </c>
      <c r="G86" s="306">
        <f>G83-G81</f>
        <v>0</v>
      </c>
      <c r="H86" s="307"/>
      <c r="I86" s="326">
        <f>SUM(D86:H86)</f>
        <v>-2856000</v>
      </c>
    </row>
    <row r="87" spans="1:9" ht="12.75">
      <c r="A87" s="327" t="str">
        <f>CONCATENATE(A19,":")</f>
        <v>Lønsatsafvigelse: 5.2:</v>
      </c>
      <c r="B87" s="25"/>
      <c r="C87" s="25"/>
      <c r="D87" s="25"/>
      <c r="E87" s="25"/>
      <c r="F87" s="25"/>
      <c r="G87" s="311"/>
      <c r="H87" s="311"/>
      <c r="I87" s="322" t="s">
        <v>142</v>
      </c>
    </row>
    <row r="88" spans="1:9" ht="12.75">
      <c r="A88" s="323" t="s">
        <v>273</v>
      </c>
      <c r="B88" s="30"/>
      <c r="C88" s="30"/>
      <c r="D88" s="328">
        <v>1161600</v>
      </c>
      <c r="E88" s="279"/>
      <c r="F88" s="279"/>
      <c r="G88" s="329"/>
      <c r="H88" s="329"/>
      <c r="I88" s="330"/>
    </row>
    <row r="89" spans="1:9" ht="12.75">
      <c r="A89" s="323" t="s">
        <v>274</v>
      </c>
      <c r="B89" s="30"/>
      <c r="C89" s="30"/>
      <c r="D89" s="331">
        <v>4800</v>
      </c>
      <c r="E89" s="279"/>
      <c r="F89" s="279"/>
      <c r="G89" s="329"/>
      <c r="H89" s="329"/>
      <c r="I89" s="330"/>
    </row>
    <row r="90" spans="1:9" ht="12.75">
      <c r="A90" s="323" t="s">
        <v>275</v>
      </c>
      <c r="B90" s="30"/>
      <c r="C90" s="30"/>
      <c r="D90" s="328">
        <f>D89*B67</f>
        <v>0</v>
      </c>
      <c r="E90" s="279"/>
      <c r="F90" s="279"/>
      <c r="G90" s="329"/>
      <c r="H90" s="329"/>
      <c r="I90" s="330"/>
    </row>
    <row r="91" spans="1:9" ht="12.75">
      <c r="A91" s="323" t="s">
        <v>247</v>
      </c>
      <c r="B91" s="30"/>
      <c r="C91" s="30"/>
      <c r="D91" s="328">
        <f>B67</f>
        <v>0</v>
      </c>
      <c r="E91" s="279"/>
      <c r="F91" s="279"/>
      <c r="G91" s="329"/>
      <c r="H91" s="329"/>
      <c r="I91" s="330"/>
    </row>
    <row r="92" spans="1:9" ht="12.75">
      <c r="A92" s="323" t="s">
        <v>272</v>
      </c>
      <c r="B92" s="30"/>
      <c r="C92" s="30"/>
      <c r="D92" s="328">
        <f>D88/D89</f>
        <v>242</v>
      </c>
      <c r="E92" s="279"/>
      <c r="F92" s="279"/>
      <c r="G92" s="329"/>
      <c r="H92" s="329"/>
      <c r="I92" s="330"/>
    </row>
    <row r="93" spans="1:9" ht="13.5" thickBot="1">
      <c r="A93" s="325" t="s">
        <v>276</v>
      </c>
      <c r="B93" s="35"/>
      <c r="C93" s="35"/>
      <c r="D93" s="282">
        <f>D90-D88</f>
        <v>-1161600</v>
      </c>
      <c r="E93" s="282"/>
      <c r="F93" s="282"/>
      <c r="G93" s="332"/>
      <c r="H93" s="332"/>
      <c r="I93" s="333">
        <f>SUM(D93:H93)</f>
        <v>-1161600</v>
      </c>
    </row>
    <row r="94" spans="1:9" ht="12.75">
      <c r="A94" s="321" t="s">
        <v>277</v>
      </c>
      <c r="B94" s="25" t="s">
        <v>278</v>
      </c>
      <c r="C94" s="25"/>
      <c r="D94" s="25"/>
      <c r="E94" s="25"/>
      <c r="F94" s="25"/>
      <c r="G94" s="25"/>
      <c r="H94" s="25"/>
      <c r="I94" s="40"/>
    </row>
    <row r="95" spans="1:9" ht="12.75">
      <c r="A95" s="29" t="s">
        <v>279</v>
      </c>
      <c r="B95" s="257">
        <v>0</v>
      </c>
      <c r="C95" s="257"/>
      <c r="D95" s="30"/>
      <c r="E95" s="30"/>
      <c r="F95" s="30"/>
      <c r="G95" s="30"/>
      <c r="H95" s="30"/>
      <c r="I95" s="41"/>
    </row>
    <row r="96" spans="1:9" ht="12.75">
      <c r="A96" s="278" t="s">
        <v>280</v>
      </c>
      <c r="B96" s="257">
        <v>0</v>
      </c>
      <c r="C96" s="257"/>
      <c r="D96" s="30"/>
      <c r="E96" s="30"/>
      <c r="F96" s="30"/>
      <c r="G96" s="30"/>
      <c r="H96" s="30"/>
      <c r="I96" s="41"/>
    </row>
    <row r="97" spans="1:9" ht="12.75">
      <c r="A97" s="278" t="s">
        <v>281</v>
      </c>
      <c r="B97" s="30">
        <f>B6</f>
        <v>1100000</v>
      </c>
      <c r="C97" s="30"/>
      <c r="D97" s="30"/>
      <c r="E97" s="30"/>
      <c r="F97" s="30"/>
      <c r="G97" s="30"/>
      <c r="H97" s="30"/>
      <c r="I97" s="41"/>
    </row>
    <row r="98" spans="1:9" ht="12.75">
      <c r="A98" s="29" t="s">
        <v>282</v>
      </c>
      <c r="B98" s="30">
        <f>B95+B96-B97</f>
        <v>-1100000</v>
      </c>
      <c r="C98" s="30"/>
      <c r="D98" s="30"/>
      <c r="E98" s="30"/>
      <c r="F98" s="30"/>
      <c r="G98" s="30"/>
      <c r="H98" s="30"/>
      <c r="I98" s="41"/>
    </row>
    <row r="99" spans="1:9" ht="12.75">
      <c r="A99" s="29" t="s">
        <v>283</v>
      </c>
      <c r="B99" s="257">
        <v>0</v>
      </c>
      <c r="C99" s="257"/>
      <c r="D99" s="30"/>
      <c r="E99" s="30"/>
      <c r="F99" s="30"/>
      <c r="G99" s="30"/>
      <c r="H99" s="30"/>
      <c r="I99" s="41"/>
    </row>
    <row r="100" spans="1:9" ht="12.75">
      <c r="A100" s="29"/>
      <c r="B100" s="99" t="s">
        <v>284</v>
      </c>
      <c r="C100" s="99"/>
      <c r="D100" s="30"/>
      <c r="E100" s="30"/>
      <c r="F100" s="30"/>
      <c r="G100" s="30"/>
      <c r="H100" s="30"/>
      <c r="I100" s="41"/>
    </row>
    <row r="101" spans="1:9" ht="12.75">
      <c r="A101" s="29" t="s">
        <v>211</v>
      </c>
      <c r="B101" s="30">
        <f>B99-B98</f>
        <v>1100000</v>
      </c>
      <c r="C101" s="30"/>
      <c r="D101" s="30"/>
      <c r="E101" s="30"/>
      <c r="F101" s="30"/>
      <c r="G101" s="30"/>
      <c r="H101" s="30"/>
      <c r="I101" s="41"/>
    </row>
    <row r="102" spans="1:9" ht="12.75">
      <c r="A102" s="29" t="str">
        <f>CONCATENATE("Afvigelse i kr.  ",B101," * ",F6)</f>
        <v>Afvigelse i kr.  1100000 * 2,25</v>
      </c>
      <c r="B102" s="30">
        <f>B101*F6</f>
        <v>2475000</v>
      </c>
      <c r="C102" s="30"/>
      <c r="D102" s="30"/>
      <c r="E102" s="30"/>
      <c r="F102" s="30"/>
      <c r="G102" s="30"/>
      <c r="H102" s="30"/>
      <c r="I102" s="41"/>
    </row>
    <row r="103" spans="1:9" ht="12.75">
      <c r="A103" s="29" t="s">
        <v>285</v>
      </c>
      <c r="B103" s="257">
        <v>0</v>
      </c>
      <c r="C103" s="257"/>
      <c r="D103" s="30"/>
      <c r="E103" s="30"/>
      <c r="F103" s="30"/>
      <c r="G103" s="30"/>
      <c r="H103" s="30"/>
      <c r="I103" s="41"/>
    </row>
    <row r="104" spans="1:9" ht="13.5" thickBot="1">
      <c r="A104" s="34" t="s">
        <v>286</v>
      </c>
      <c r="B104" s="35">
        <f>D55/B5</f>
        <v>0</v>
      </c>
      <c r="C104" s="35"/>
      <c r="D104" s="35"/>
      <c r="E104" s="35"/>
      <c r="F104" s="35"/>
      <c r="G104" s="35"/>
      <c r="H104" s="35"/>
      <c r="I104" s="42"/>
    </row>
    <row r="106" spans="7:9" ht="12.75">
      <c r="G106" s="334"/>
      <c r="H106" s="334"/>
      <c r="I106" s="334"/>
    </row>
    <row r="107" spans="7:9" ht="12.75">
      <c r="G107" s="334"/>
      <c r="H107" s="334"/>
      <c r="I107" s="334"/>
    </row>
    <row r="108" spans="7:9" ht="12.75">
      <c r="G108" s="334"/>
      <c r="H108" s="334"/>
      <c r="I108" s="334"/>
    </row>
    <row r="109" spans="7:9" ht="12.75">
      <c r="G109" s="334"/>
      <c r="H109" s="334"/>
      <c r="I109" s="334"/>
    </row>
    <row r="110" spans="7:9" ht="12.75">
      <c r="G110" s="334"/>
      <c r="H110" s="334"/>
      <c r="I110" s="334"/>
    </row>
  </sheetData>
  <mergeCells count="4">
    <mergeCell ref="A2:I2"/>
    <mergeCell ref="G3:I3"/>
    <mergeCell ref="A60:C60"/>
    <mergeCell ref="D10:F10"/>
  </mergeCells>
  <printOptions/>
  <pageMargins left="0.1968503937007874" right="0.1968503937007874" top="0.3937007874015748" bottom="0.3937007874015748" header="0.5118110236220472" footer="0.5118110236220472"/>
  <pageSetup fitToHeight="1" fitToWidth="1" horizontalDpi="300" verticalDpi="300" orientation="portrait" paperSize="9" scale="81" r:id="rId3"/>
  <legacyDrawing r:id="rId2"/>
</worksheet>
</file>

<file path=xl/worksheets/sheet2.xml><?xml version="1.0" encoding="utf-8"?>
<worksheet xmlns="http://schemas.openxmlformats.org/spreadsheetml/2006/main" xmlns:r="http://schemas.openxmlformats.org/officeDocument/2006/relationships">
  <dimension ref="A1:I25"/>
  <sheetViews>
    <sheetView zoomScale="140" zoomScaleNormal="140" workbookViewId="0" topLeftCell="A1">
      <selection activeCell="G141" sqref="G141"/>
    </sheetView>
  </sheetViews>
  <sheetFormatPr defaultColWidth="9.140625" defaultRowHeight="12.75"/>
  <cols>
    <col min="3" max="3" width="14.7109375" style="0" customWidth="1"/>
    <col min="4" max="4" width="13.421875" style="0" customWidth="1"/>
    <col min="5" max="5" width="16.8515625" style="0" hidden="1" customWidth="1"/>
    <col min="6" max="6" width="16.28125" style="0" customWidth="1"/>
    <col min="7" max="7" width="13.8515625" style="0" customWidth="1"/>
    <col min="8" max="8" width="10.8515625" style="0" bestFit="1" customWidth="1"/>
    <col min="9" max="9" width="15.140625" style="0" bestFit="1" customWidth="1"/>
    <col min="10" max="10" width="12.421875" style="0" customWidth="1"/>
    <col min="11" max="11" width="12.140625" style="0" customWidth="1"/>
  </cols>
  <sheetData>
    <row r="1" spans="1:9" ht="26.25" thickBot="1">
      <c r="A1" s="22"/>
      <c r="B1" s="22" t="s">
        <v>31</v>
      </c>
      <c r="C1" s="48" t="str">
        <f>Prisoptimering!N4</f>
        <v>Differensbidrag pr. liter</v>
      </c>
      <c r="D1" s="48" t="s">
        <v>36</v>
      </c>
      <c r="E1" s="46" t="s">
        <v>34</v>
      </c>
      <c r="F1" s="22" t="s">
        <v>35</v>
      </c>
      <c r="G1" s="22" t="s">
        <v>31</v>
      </c>
      <c r="H1" s="47" t="str">
        <f>D1</f>
        <v>Ekstra timeforbrug</v>
      </c>
      <c r="I1" s="54" t="s">
        <v>42</v>
      </c>
    </row>
    <row r="2" spans="1:9" ht="12.75">
      <c r="A2" s="24">
        <v>1</v>
      </c>
      <c r="B2" s="25" t="str">
        <f>CONCATENATE(1," ",Prisoptimering!$D$2)</f>
        <v>1 Top</v>
      </c>
      <c r="C2" s="26">
        <f>Prisoptimering!N5</f>
        <v>18</v>
      </c>
      <c r="D2" s="40">
        <f>Prisoptimering!O5</f>
        <v>750000</v>
      </c>
      <c r="E2" s="27">
        <f aca="true" t="shared" si="0" ref="E2:E25">SMALL($C$2:$C$25,A2)</f>
        <v>-5</v>
      </c>
      <c r="F2" s="58">
        <f aca="true" t="shared" si="1" ref="F2:F25">LARGE($E$2:$E$25,A2)</f>
        <v>22</v>
      </c>
      <c r="G2" s="24" t="str">
        <f>IF(F2=C2,B2,IF(F2=C10,B10,IF(F2=C18,B18)))</f>
        <v>1 Ekstra</v>
      </c>
      <c r="H2" s="28">
        <f>IF(G2=$B$2,$D$2,IF(G2=$B$10,$D$10,IF(G2=$B$18,$D$18)))</f>
        <v>150000</v>
      </c>
      <c r="I2" s="52">
        <f>H2</f>
        <v>150000</v>
      </c>
    </row>
    <row r="3" spans="1:9" ht="12.75">
      <c r="A3" s="29">
        <f aca="true" t="shared" si="2" ref="A3:A25">A2+1</f>
        <v>2</v>
      </c>
      <c r="B3" s="30" t="str">
        <f>CONCATENATE(2," ",Prisoptimering!$D$2)</f>
        <v>2 Top</v>
      </c>
      <c r="C3" s="31">
        <f>Prisoptimering!N6</f>
        <v>11</v>
      </c>
      <c r="D3" s="41">
        <f>Prisoptimering!O6</f>
        <v>125000</v>
      </c>
      <c r="E3" s="32">
        <f t="shared" si="0"/>
        <v>0</v>
      </c>
      <c r="F3" s="57">
        <f t="shared" si="1"/>
        <v>18</v>
      </c>
      <c r="G3" s="29" t="str">
        <f>IF(F3=$C$2,$B$2,IF(F3=$C$3,$B$3,IF(F3=$C$10,$B$10,IF(F3=$C$11,$B$11,IF(F3=$C$18,$B$18,IF(F3=$C$19,$B$19))))))</f>
        <v>1 Top</v>
      </c>
      <c r="H3" s="33">
        <f>IF(G3=$B$2,$D$2,IF(G3=$B$10,$D$10,IF(G3=$B$18,$D$18,IF(G3=$B$3,$D$3,IF(G3=$B$11,$D$11,IF(G3=$B$19,$D$19,IF(G3=$B$4,$D$4,IF(G3=$B$12,$D$12))))))))</f>
        <v>750000</v>
      </c>
      <c r="I3" s="52">
        <f>H3+I2</f>
        <v>900000</v>
      </c>
    </row>
    <row r="4" spans="1:9" ht="12.75">
      <c r="A4" s="29">
        <f t="shared" si="2"/>
        <v>3</v>
      </c>
      <c r="B4" s="30" t="str">
        <f>CONCATENATE(3," ",Prisoptimering!$D$2)</f>
        <v>3 Top</v>
      </c>
      <c r="C4" s="31">
        <f>Prisoptimering!N8</f>
        <v>9</v>
      </c>
      <c r="D4" s="41">
        <f>Prisoptimering!O8</f>
        <v>125000</v>
      </c>
      <c r="E4" s="32">
        <f t="shared" si="0"/>
        <v>0</v>
      </c>
      <c r="F4" s="57">
        <f t="shared" si="1"/>
        <v>13.5</v>
      </c>
      <c r="G4" s="29" t="str">
        <f>IF(F4=$C$2,$B$2,IF(F4=$C$3,$B$3,IF(F4=$C$10,$B$10,IF(F4=$C$11,$B$11,IF(F4=$C$18,$B$18,IF(F4=$C$19,$B$19,IF(F4=$C$4,$B$4,IF(F4=$C$12,$B$12,))))))))</f>
        <v>2 Ekstra</v>
      </c>
      <c r="H4" s="33">
        <f>IF(G4=$B$2,$D$2,IF(G4=$B$10,$D$10,IF(G4=$B$18,$D$18,IF(G4=$B$3,$D$3,IF(G4=$B$11,$D$11,IF(G4=$B$19,$D$19,IF(G4=$B$4,$D$4,IF(G4=$B$12,$D$12))))))))</f>
        <v>20000</v>
      </c>
      <c r="I4" s="52">
        <f aca="true" t="shared" si="3" ref="I4:I13">H4+I3</f>
        <v>920000</v>
      </c>
    </row>
    <row r="5" spans="1:9" ht="12.75">
      <c r="A5" s="29">
        <f t="shared" si="2"/>
        <v>4</v>
      </c>
      <c r="B5" s="30" t="str">
        <f>CONCATENATE(4," ",Prisoptimering!$D$2)</f>
        <v>4 Top</v>
      </c>
      <c r="C5" s="31">
        <f>Prisoptimering!N10</f>
        <v>7</v>
      </c>
      <c r="D5" s="41">
        <f>Prisoptimering!O10</f>
        <v>125000</v>
      </c>
      <c r="E5" s="32">
        <f t="shared" si="0"/>
        <v>0</v>
      </c>
      <c r="F5" s="57">
        <f t="shared" si="1"/>
        <v>13.2</v>
      </c>
      <c r="G5" s="29" t="str">
        <f>IF(F5=$C$2,$B$2,IF(F5=$C$3,$B$3,IF(F5=$C$10,$B$10,IF(F5=$C$11,$B$11,IF(F5=$C$18,$B$18,IF(F5=$C$19,$B$19,IF(F5=$C$4,$B$4,IF(F5=$C$12,$B$12,))))))))</f>
        <v>3 Ekstra</v>
      </c>
      <c r="H5" s="33">
        <f>IF(G5=$B$2,$D$2,IF(G5=$B$10,$D$10,IF(G5=$B$18,$D$18,IF(G5=$B$3,$D$3,IF(G5=$B$11,$D$11,IF(G5=$B$19,$D$19,IF(G5=$B$4,$D$4,IF(G5=$B$12,$D$12))))))))</f>
        <v>25000</v>
      </c>
      <c r="I5" s="52">
        <f t="shared" si="3"/>
        <v>945000</v>
      </c>
    </row>
    <row r="6" spans="1:9" ht="12.75">
      <c r="A6" s="29">
        <f t="shared" si="2"/>
        <v>5</v>
      </c>
      <c r="B6" s="30" t="str">
        <f>CONCATENATE(5," ",Prisoptimering!$D$2)</f>
        <v>5 Top</v>
      </c>
      <c r="C6" s="31">
        <f>Prisoptimering!N12</f>
        <v>-5</v>
      </c>
      <c r="D6" s="41">
        <f>Prisoptimering!O12</f>
        <v>125000</v>
      </c>
      <c r="E6" s="32">
        <f t="shared" si="0"/>
        <v>0</v>
      </c>
      <c r="F6" s="57">
        <f t="shared" si="1"/>
        <v>11</v>
      </c>
      <c r="G6" s="29" t="str">
        <f>IF(F6=$C$2,$B$2,IF(F6=$C$3,$B$3,IF(F6=$C$10,$B$10,IF(F6=$C$11,$B$11,IF(F6=$C$18,$B$18,IF(F6=$C$19,$B$19,IF(F6=$C$4,$B$4,IF(F6=$C$12,$B$12,))))))))</f>
        <v>2 Top</v>
      </c>
      <c r="H6" s="33">
        <f>IF(G6=$B$2,$D$2,IF(G6=$B$10,$D$10,IF(G6=$B$18,$D$18,IF(G6=$B$3,$D$3,IF(G6=$B$11,$D$11,IF(G6=$B$19,$D$19,IF(G6=$B$4,$D$4,IF(G6=$B$12,$D$12))))))))</f>
        <v>125000</v>
      </c>
      <c r="I6" s="52">
        <f t="shared" si="3"/>
        <v>1070000</v>
      </c>
    </row>
    <row r="7" spans="1:9" ht="12.75">
      <c r="A7" s="29">
        <f t="shared" si="2"/>
        <v>6</v>
      </c>
      <c r="B7" s="30" t="str">
        <f>CONCATENATE(6," ",Prisoptimering!$D$2)</f>
        <v>6 Top</v>
      </c>
      <c r="C7" s="31">
        <f>Prisoptimering!N14</f>
        <v>0</v>
      </c>
      <c r="D7" s="41">
        <f>Prisoptimering!O14</f>
        <v>0</v>
      </c>
      <c r="E7" s="32">
        <f t="shared" si="0"/>
        <v>0</v>
      </c>
      <c r="F7" s="57">
        <f>LARGE($E$2:$E$25,A7)</f>
        <v>11</v>
      </c>
      <c r="G7" s="29" t="str">
        <f>B18</f>
        <v>1 Top export</v>
      </c>
      <c r="H7" s="33">
        <f>IF(G7=$B$2,$D$2,IF(G7=$B$10,$D$10,IF(G7=$B$18,$D$18,IF(G7=$B$3,$D$3,IF(G7=$B$11,$D$11,IF(G7=$B$19,$D$19,IF(G7=$B$4,$D$4,IF(G7=$B$12,$D$12))))))))</f>
        <v>930000</v>
      </c>
      <c r="I7" s="52">
        <f t="shared" si="3"/>
        <v>2000000</v>
      </c>
    </row>
    <row r="8" spans="1:9" ht="12.75">
      <c r="A8" s="29">
        <f t="shared" si="2"/>
        <v>7</v>
      </c>
      <c r="B8" s="30" t="str">
        <f>CONCATENATE(7," ",Prisoptimering!$D$2)</f>
        <v>7 Top</v>
      </c>
      <c r="C8" s="31">
        <f>Prisoptimering!N16</f>
        <v>0</v>
      </c>
      <c r="D8" s="41">
        <f>Prisoptimering!O16</f>
        <v>0</v>
      </c>
      <c r="E8" s="32">
        <f t="shared" si="0"/>
        <v>0</v>
      </c>
      <c r="F8" s="57">
        <f t="shared" si="1"/>
        <v>9</v>
      </c>
      <c r="G8" s="29" t="str">
        <f>IF(F8=$C$2,$B$2,IF(F8=$C$3,$B$3,IF(F8=$C$13,$B$13,IF(F8=$C$11,$B$11,IF(F8=$C$18,$B$18,IF(F8=$C$19,$B$19,IF(F8=$C$4,$B$4,IF(F8=$C$12,$B$12,))))))))</f>
        <v>3 Top</v>
      </c>
      <c r="H8" s="33">
        <f>IF(G8=$B$2,$D$2,IF(G8=$B$13,$D$13,IF(G8=$B$18,$D$18,IF(G8=$B$3,$D$3,IF(G8=$B$11,$D$11,IF(G8=$B$19,$D$19,IF(G8=$B$4,$D$4,IF(G8=$B$12,$D$12))))))))</f>
        <v>125000</v>
      </c>
      <c r="I8" s="52">
        <f t="shared" si="3"/>
        <v>2125000</v>
      </c>
    </row>
    <row r="9" spans="1:9" ht="13.5" thickBot="1">
      <c r="A9" s="29">
        <f t="shared" si="2"/>
        <v>8</v>
      </c>
      <c r="B9" s="30" t="str">
        <f>CONCATENATE(7," ",Prisoptimering!$D$2)</f>
        <v>7 Top</v>
      </c>
      <c r="C9" s="31">
        <f>Prisoptimering!N18</f>
        <v>0</v>
      </c>
      <c r="D9" s="41">
        <f>Prisoptimering!O18</f>
        <v>0</v>
      </c>
      <c r="E9" s="32">
        <f t="shared" si="0"/>
        <v>0</v>
      </c>
      <c r="F9" s="57">
        <f t="shared" si="1"/>
        <v>7</v>
      </c>
      <c r="G9" s="29" t="str">
        <f>IF(F9=$C$5,$B$5,IF(F9=$C$3,$B$3,IF(F9=$C$13,$B$13,IF(F9=$C$11,$B$11,IF(F9=$C$19,$B$19,IF(F9=$C$20,$B$20,IF(F9=$C$4,$B$4,IF(F9=$C$12,$B$12,))))))))</f>
        <v>4 Top</v>
      </c>
      <c r="H9" s="33">
        <f>IF(G9=$B$5,$D$5,IF(G9=$B$13,$D$13,IF(G9=$B$20,$D$20,IF(G9=$B$3,$D$3,IF(G9=$B$11,$D$11,IF(G9=$B$19,$D$19,IF(G9=$B$4,$D$4,IF(G9=$B$12,$D$12))))))))</f>
        <v>125000</v>
      </c>
      <c r="I9" s="52">
        <f t="shared" si="3"/>
        <v>2250000</v>
      </c>
    </row>
    <row r="10" spans="1:9" ht="12.75">
      <c r="A10" s="24">
        <f t="shared" si="2"/>
        <v>9</v>
      </c>
      <c r="B10" s="25" t="str">
        <f>CONCATENATE(1," ",Prisoptimering!$D$30)</f>
        <v>1 Ekstra</v>
      </c>
      <c r="C10" s="26">
        <f>Prisoptimering!N33</f>
        <v>22</v>
      </c>
      <c r="D10" s="40">
        <f>Prisoptimering!O33</f>
        <v>150000</v>
      </c>
      <c r="E10" s="27">
        <f t="shared" si="0"/>
        <v>0</v>
      </c>
      <c r="F10" s="58">
        <f t="shared" si="1"/>
        <v>6.142857142857143</v>
      </c>
      <c r="G10" s="30">
        <f>IF(F10=$C$5,$B$5,IF(F10=$C$3,$B$3,IF(F10=$C$13,$B$13,IF(F10=$C$11,$B$11,IF(F10=$C$19,$B$19,IF(F10=$C$20,$B$20,IF(F10=$C$4,$B$4,IF(F10=$C$12,$B$12,))))))))</f>
        <v>0</v>
      </c>
      <c r="H10" s="33" t="str">
        <f>IF(G10=$B$5,$D$5,IF(G10=$B$13,$D$13,IF(G10=$B$20,$D$20,IF(G10=$B$3,$D$3,IF(G10=$B$11,$D$11,IF(G10=$B$19,$D$19,IF(G10=$B$4,$D$4,IF(G10=$B$12,$D$12,"-"))))))))</f>
        <v>-</v>
      </c>
      <c r="I10" s="52" t="e">
        <f t="shared" si="3"/>
        <v>#VALUE!</v>
      </c>
    </row>
    <row r="11" spans="1:9" ht="12.75">
      <c r="A11" s="29">
        <f t="shared" si="2"/>
        <v>10</v>
      </c>
      <c r="B11" s="30" t="str">
        <f>CONCATENATE(2," ",Prisoptimering!$D$30)</f>
        <v>2 Ekstra</v>
      </c>
      <c r="C11" s="31">
        <f>Prisoptimering!N34</f>
        <v>13.5</v>
      </c>
      <c r="D11" s="41">
        <f>Prisoptimering!O34</f>
        <v>20000</v>
      </c>
      <c r="E11" s="32">
        <f t="shared" si="0"/>
        <v>0</v>
      </c>
      <c r="F11" s="57">
        <f t="shared" si="1"/>
        <v>3.4</v>
      </c>
      <c r="G11" s="30" t="str">
        <f>IF(F11=$C$5,$B$5,IF(F11=$C$3,$B$3,IF(F11=$C$13,$B$13,IF(F11=$C$11,$B$11,IF(F11=$C$19,$B$19,IF(F11=$C$20,$B$20,IF(F11=$C$4,$B$4,IF(F11=$C$12,$B$12,))))))))</f>
        <v>4 Ekstra</v>
      </c>
      <c r="H11" s="33">
        <f>IF(G11=$B$5,$D$5,IF(G11=$B$13,$D$13,IF(G11=$B$20,$D$20,IF(G11=$B$3,$D$3,IF(G11=$B$11,$D$11,IF(G11=$B$19,$D$19,IF(G11=$B$4,$D$4,IF(G11=$B$12,$D$12,"-"))))))))</f>
        <v>12500</v>
      </c>
      <c r="I11" s="52" t="e">
        <f t="shared" si="3"/>
        <v>#VALUE!</v>
      </c>
    </row>
    <row r="12" spans="1:9" ht="12.75">
      <c r="A12" s="29">
        <f t="shared" si="2"/>
        <v>11</v>
      </c>
      <c r="B12" s="30" t="str">
        <f>CONCATENATE(3," ",Prisoptimering!$D$30)</f>
        <v>3 Ekstra</v>
      </c>
      <c r="C12" s="31">
        <f>Prisoptimering!N36</f>
        <v>13.2</v>
      </c>
      <c r="D12" s="41">
        <f>Prisoptimering!O36</f>
        <v>25000</v>
      </c>
      <c r="E12" s="32">
        <f t="shared" si="0"/>
        <v>0</v>
      </c>
      <c r="F12" s="57">
        <f t="shared" si="1"/>
        <v>0</v>
      </c>
      <c r="G12" s="30" t="str">
        <f>IF(F12=$C$5,$B$5,IF(F12=$C$6,$B$6,IF(F12=$C$13,$B$13,IF(F12=$C$14,$B$14,IF(F12=$C$21,$B$21,IF(F12=$C$20,$B$20,IF(F12=$C$4,$B$4,IF(F12=$C$12,$B$12,"-"))))))))</f>
        <v>4 Top export</v>
      </c>
      <c r="H12" s="33" t="str">
        <f>IF(G12=$B$5,$D$5,IF(G12=$B$13,$D$13,IF(G12=$B$20,$D$20,IF(G12=$B$3,$D$3,IF(G12=$B$11,$D$11,IF(G12=$B$19,$D$19,IF(G12=$B$4,$D$4,IF(G12=$B$12,$D$12,"-"))))))))</f>
        <v>-</v>
      </c>
      <c r="I12" s="52" t="e">
        <f t="shared" si="3"/>
        <v>#VALUE!</v>
      </c>
    </row>
    <row r="13" spans="1:9" ht="13.5" thickBot="1">
      <c r="A13" s="29">
        <f t="shared" si="2"/>
        <v>12</v>
      </c>
      <c r="B13" s="30" t="str">
        <f>CONCATENATE(4," ",Prisoptimering!$D$30)</f>
        <v>4 Ekstra</v>
      </c>
      <c r="C13" s="31">
        <f>Prisoptimering!N38</f>
        <v>3.4</v>
      </c>
      <c r="D13" s="41">
        <f>Prisoptimering!O38</f>
        <v>12500</v>
      </c>
      <c r="E13" s="32">
        <f t="shared" si="0"/>
        <v>0</v>
      </c>
      <c r="F13" s="59">
        <f t="shared" si="1"/>
        <v>0</v>
      </c>
      <c r="G13" s="35" t="str">
        <f>IF(F13=$C$5,$B$5,IF(F13=$C$6,$B$6,IF(F13=$C$13,$B$13,IF(F13=$C$14,$B$14,IF(F13=$C$21,$B$21,IF(F13=$C$20,$B$20,IF(F13=$C$4,$B$4,IF(F13=$C$12,$B$12,"-"))))))))</f>
        <v>4 Top export</v>
      </c>
      <c r="H13" s="38" t="str">
        <f>IF(G13=$B$5,$D$5,IF(G13=$B$13,$D$13,IF(G13=$B$20,$D$20,IF(G13=$B$3,$D$3,IF(G13=$B$11,$D$11,IF(G13=$B$19,$D$19,IF(G13=$B$4,$D$4,IF(G13=$B$12,$D$12,"-"))))))))</f>
        <v>-</v>
      </c>
      <c r="I13" s="53" t="e">
        <f t="shared" si="3"/>
        <v>#VALUE!</v>
      </c>
    </row>
    <row r="14" spans="1:6" ht="12.75">
      <c r="A14" s="29">
        <f t="shared" si="2"/>
        <v>13</v>
      </c>
      <c r="B14" s="30" t="str">
        <f>CONCATENATE(5," ",Prisoptimering!$D$30)</f>
        <v>5 Ekstra</v>
      </c>
      <c r="C14" s="31">
        <f>Prisoptimering!N40</f>
        <v>6.142857142857143</v>
      </c>
      <c r="D14" s="41">
        <f>Prisoptimering!O40</f>
        <v>17500</v>
      </c>
      <c r="E14" s="32">
        <f t="shared" si="0"/>
        <v>0</v>
      </c>
      <c r="F14" s="57">
        <f t="shared" si="1"/>
        <v>0</v>
      </c>
    </row>
    <row r="15" spans="1:6" ht="12.75">
      <c r="A15" s="29">
        <f t="shared" si="2"/>
        <v>14</v>
      </c>
      <c r="B15" s="30" t="str">
        <f>CONCATENATE(6," ",Prisoptimering!$D$30)</f>
        <v>6 Ekstra</v>
      </c>
      <c r="C15" s="31">
        <f>Prisoptimering!N42</f>
        <v>0</v>
      </c>
      <c r="D15" s="41">
        <f>Prisoptimering!O42</f>
        <v>0</v>
      </c>
      <c r="E15" s="32">
        <f t="shared" si="0"/>
        <v>0</v>
      </c>
      <c r="F15" s="57">
        <f t="shared" si="1"/>
        <v>0</v>
      </c>
    </row>
    <row r="16" spans="1:6" ht="12.75">
      <c r="A16" s="29">
        <f t="shared" si="2"/>
        <v>15</v>
      </c>
      <c r="B16" s="30" t="str">
        <f>CONCATENATE(7," ",Prisoptimering!$D$30)</f>
        <v>7 Ekstra</v>
      </c>
      <c r="C16" s="31">
        <f>Prisoptimering!N44</f>
        <v>0</v>
      </c>
      <c r="D16" s="41">
        <f>Prisoptimering!O44</f>
        <v>0</v>
      </c>
      <c r="E16" s="32">
        <f t="shared" si="0"/>
        <v>3.4</v>
      </c>
      <c r="F16" s="57">
        <f t="shared" si="1"/>
        <v>0</v>
      </c>
    </row>
    <row r="17" spans="1:6" ht="13.5" thickBot="1">
      <c r="A17" s="29">
        <f t="shared" si="2"/>
        <v>16</v>
      </c>
      <c r="B17" s="30" t="str">
        <f>CONCATENATE(8," ",Prisoptimering!$D$30)</f>
        <v>8 Ekstra</v>
      </c>
      <c r="C17" s="31">
        <f>Prisoptimering!N46</f>
        <v>0</v>
      </c>
      <c r="D17" s="41">
        <f>Prisoptimering!O46</f>
        <v>0</v>
      </c>
      <c r="E17" s="32">
        <f t="shared" si="0"/>
        <v>6.142857142857143</v>
      </c>
      <c r="F17" s="59">
        <f t="shared" si="1"/>
        <v>0</v>
      </c>
    </row>
    <row r="18" spans="1:6" ht="12.75">
      <c r="A18" s="24">
        <f t="shared" si="2"/>
        <v>17</v>
      </c>
      <c r="B18" s="25" t="str">
        <f>CONCATENATE(1," ",Prisoptimering!$D$58)</f>
        <v>1 Top export</v>
      </c>
      <c r="C18" s="26">
        <f>Prisoptimering!N61</f>
        <v>11</v>
      </c>
      <c r="D18" s="40">
        <f>Prisoptimering!O61</f>
        <v>930000</v>
      </c>
      <c r="E18" s="27">
        <f t="shared" si="0"/>
        <v>7</v>
      </c>
      <c r="F18" s="60">
        <f t="shared" si="1"/>
        <v>0</v>
      </c>
    </row>
    <row r="19" spans="1:6" ht="12.75">
      <c r="A19" s="29">
        <f t="shared" si="2"/>
        <v>18</v>
      </c>
      <c r="B19" s="30" t="str">
        <f>CONCATENATE(2," ",Prisoptimering!$D$58)</f>
        <v>2 Top export</v>
      </c>
      <c r="C19" s="31">
        <f>Prisoptimering!N62</f>
        <v>0</v>
      </c>
      <c r="D19" s="41">
        <f>Prisoptimering!O62</f>
        <v>0</v>
      </c>
      <c r="E19" s="32">
        <f t="shared" si="0"/>
        <v>9</v>
      </c>
      <c r="F19" s="60">
        <f t="shared" si="1"/>
        <v>0</v>
      </c>
    </row>
    <row r="20" spans="1:6" ht="12.75">
      <c r="A20" s="29">
        <f t="shared" si="2"/>
        <v>19</v>
      </c>
      <c r="B20" s="30" t="str">
        <f>CONCATENATE(3," ",Prisoptimering!$D$58)</f>
        <v>3 Top export</v>
      </c>
      <c r="C20" s="31">
        <f>Prisoptimering!N64</f>
        <v>0</v>
      </c>
      <c r="D20" s="41">
        <f>Prisoptimering!O64</f>
        <v>0</v>
      </c>
      <c r="E20" s="32">
        <f t="shared" si="0"/>
        <v>11</v>
      </c>
      <c r="F20" s="60">
        <f t="shared" si="1"/>
        <v>0</v>
      </c>
    </row>
    <row r="21" spans="1:6" ht="12.75">
      <c r="A21" s="29">
        <f t="shared" si="2"/>
        <v>20</v>
      </c>
      <c r="B21" s="30" t="str">
        <f>CONCATENATE(4," ",Prisoptimering!$D$58)</f>
        <v>4 Top export</v>
      </c>
      <c r="C21" s="31">
        <f>Prisoptimering!N66</f>
        <v>0</v>
      </c>
      <c r="D21" s="41">
        <f>Prisoptimering!O66</f>
        <v>0</v>
      </c>
      <c r="E21" s="32">
        <f t="shared" si="0"/>
        <v>11</v>
      </c>
      <c r="F21" s="60">
        <f t="shared" si="1"/>
        <v>0</v>
      </c>
    </row>
    <row r="22" spans="1:6" ht="12.75">
      <c r="A22" s="29">
        <f t="shared" si="2"/>
        <v>21</v>
      </c>
      <c r="B22" s="30" t="str">
        <f>CONCATENATE(5," ",Prisoptimering!$D$58)</f>
        <v>5 Top export</v>
      </c>
      <c r="C22" s="31">
        <f>Prisoptimering!N68</f>
        <v>0</v>
      </c>
      <c r="D22" s="41">
        <f>Prisoptimering!O68</f>
        <v>0</v>
      </c>
      <c r="E22" s="32">
        <f t="shared" si="0"/>
        <v>13.2</v>
      </c>
      <c r="F22" s="60">
        <f t="shared" si="1"/>
        <v>0</v>
      </c>
    </row>
    <row r="23" spans="1:6" ht="12.75">
      <c r="A23" s="29">
        <f t="shared" si="2"/>
        <v>22</v>
      </c>
      <c r="B23" s="30" t="str">
        <f>CONCATENATE(6," ",Prisoptimering!$D$58)</f>
        <v>6 Top export</v>
      </c>
      <c r="C23" s="31">
        <f>Prisoptimering!N70</f>
        <v>0</v>
      </c>
      <c r="D23" s="41">
        <f>Prisoptimering!O70</f>
        <v>0</v>
      </c>
      <c r="E23" s="32">
        <f t="shared" si="0"/>
        <v>13.5</v>
      </c>
      <c r="F23" s="60">
        <f t="shared" si="1"/>
        <v>0</v>
      </c>
    </row>
    <row r="24" spans="1:6" ht="12.75">
      <c r="A24" s="29">
        <f t="shared" si="2"/>
        <v>23</v>
      </c>
      <c r="B24" s="30" t="str">
        <f>CONCATENATE(7," ",Prisoptimering!$D$58)</f>
        <v>7 Top export</v>
      </c>
      <c r="C24" s="31">
        <f>Prisoptimering!N72</f>
        <v>0</v>
      </c>
      <c r="D24" s="41">
        <f>Prisoptimering!O72</f>
        <v>0</v>
      </c>
      <c r="E24" s="32">
        <f t="shared" si="0"/>
        <v>18</v>
      </c>
      <c r="F24" s="60">
        <f t="shared" si="1"/>
        <v>0</v>
      </c>
    </row>
    <row r="25" spans="1:6" ht="13.5" thickBot="1">
      <c r="A25" s="34">
        <f t="shared" si="2"/>
        <v>24</v>
      </c>
      <c r="B25" s="35" t="str">
        <f>CONCATENATE(8," ",Prisoptimering!$D$58)</f>
        <v>8 Top export</v>
      </c>
      <c r="C25" s="36">
        <f>Prisoptimering!N74</f>
        <v>0</v>
      </c>
      <c r="D25" s="42">
        <f>Prisoptimering!O74</f>
        <v>0</v>
      </c>
      <c r="E25" s="37">
        <f t="shared" si="0"/>
        <v>22</v>
      </c>
      <c r="F25" s="61">
        <f t="shared" si="1"/>
        <v>-5</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398"/>
  <sheetViews>
    <sheetView workbookViewId="0" topLeftCell="A1">
      <selection activeCell="A1" sqref="A1"/>
    </sheetView>
  </sheetViews>
  <sheetFormatPr defaultColWidth="9.140625" defaultRowHeight="12.75"/>
  <cols>
    <col min="2" max="2" width="3.28125" style="0" customWidth="1"/>
    <col min="3" max="3" width="17.7109375" style="0" customWidth="1"/>
    <col min="4" max="4" width="13.421875" style="0" customWidth="1"/>
    <col min="5" max="5" width="14.8515625" style="0" customWidth="1"/>
    <col min="6" max="6" width="15.57421875" style="0" customWidth="1"/>
    <col min="7" max="7" width="15.7109375" style="0" customWidth="1"/>
    <col min="8" max="8" width="16.28125" style="0" bestFit="1" customWidth="1"/>
    <col min="9" max="9" width="15.00390625" style="0" customWidth="1"/>
    <col min="10" max="10" width="16.28125" style="0" bestFit="1" customWidth="1"/>
    <col min="11" max="11" width="14.140625" style="0" customWidth="1"/>
    <col min="12" max="12" width="19.57421875" style="0" bestFit="1" customWidth="1"/>
    <col min="13" max="13" width="13.57421875" style="0" customWidth="1"/>
    <col min="14" max="14" width="18.00390625" style="0" customWidth="1"/>
    <col min="15" max="15" width="11.00390625" style="0" customWidth="1"/>
  </cols>
  <sheetData>
    <row r="1" ht="18">
      <c r="C1" s="2" t="s">
        <v>16</v>
      </c>
    </row>
    <row r="2" spans="3:4" ht="15.75">
      <c r="C2" s="9" t="s">
        <v>12</v>
      </c>
      <c r="D2" s="17" t="s">
        <v>47</v>
      </c>
    </row>
    <row r="3" spans="3:5" ht="16.5" thickBot="1">
      <c r="C3" s="9" t="s">
        <v>13</v>
      </c>
      <c r="D3" s="17">
        <v>4</v>
      </c>
      <c r="E3" t="s">
        <v>48</v>
      </c>
    </row>
    <row r="4" spans="1:15" ht="30.75" thickBot="1">
      <c r="A4" s="49" t="s">
        <v>41</v>
      </c>
      <c r="B4" s="49" t="s">
        <v>39</v>
      </c>
      <c r="C4" s="3" t="s">
        <v>0</v>
      </c>
      <c r="D4" s="4" t="s">
        <v>1</v>
      </c>
      <c r="E4" s="4" t="s">
        <v>2</v>
      </c>
      <c r="F4" s="4" t="s">
        <v>7</v>
      </c>
      <c r="G4" s="4" t="s">
        <v>3</v>
      </c>
      <c r="H4" s="4" t="s">
        <v>4</v>
      </c>
      <c r="I4" s="4" t="s">
        <v>5</v>
      </c>
      <c r="J4" s="5" t="s">
        <v>6</v>
      </c>
      <c r="K4" s="6" t="s">
        <v>10</v>
      </c>
      <c r="L4" s="7" t="s">
        <v>52</v>
      </c>
      <c r="M4" s="10" t="s">
        <v>50</v>
      </c>
      <c r="N4" s="8" t="s">
        <v>51</v>
      </c>
      <c r="O4" s="21" t="s">
        <v>49</v>
      </c>
    </row>
    <row r="5" spans="1:15" ht="15" customHeight="1" thickBot="1">
      <c r="A5" s="401" t="str">
        <f>IF(C5=0,0,CONCATENATE(B5," ",$D$2))</f>
        <v>1 Top</v>
      </c>
      <c r="B5" s="351">
        <v>1</v>
      </c>
      <c r="C5" s="361">
        <v>6.5</v>
      </c>
      <c r="D5" s="358">
        <v>3000000</v>
      </c>
      <c r="E5" s="365">
        <f>D5*C5</f>
        <v>19500000</v>
      </c>
      <c r="F5" s="353">
        <v>2</v>
      </c>
      <c r="G5" s="365">
        <f>F5*D5</f>
        <v>6000000</v>
      </c>
      <c r="H5" s="366">
        <f>E5-G5</f>
        <v>13500000</v>
      </c>
      <c r="I5" s="346">
        <v>0</v>
      </c>
      <c r="J5" s="343">
        <f>H5-I5</f>
        <v>13500000</v>
      </c>
      <c r="K5" s="371">
        <f>C5-F5</f>
        <v>4.5</v>
      </c>
      <c r="L5" s="372">
        <f>D5/$D$3</f>
        <v>750000</v>
      </c>
      <c r="M5" s="369">
        <f>IF(L5=0,0,H5/L5)</f>
        <v>18</v>
      </c>
      <c r="N5" s="64">
        <f>IF(L5=0,0,H5/L5)</f>
        <v>18</v>
      </c>
      <c r="O5" s="65">
        <f>IF(L5&lt;0,0,L5)</f>
        <v>750000</v>
      </c>
    </row>
    <row r="6" spans="1:15" ht="15.75" customHeight="1" thickBot="1">
      <c r="A6" s="402"/>
      <c r="B6" s="352"/>
      <c r="C6" s="357"/>
      <c r="D6" s="359"/>
      <c r="E6" s="363"/>
      <c r="F6" s="357"/>
      <c r="G6" s="363"/>
      <c r="H6" s="367"/>
      <c r="I6" s="335"/>
      <c r="J6" s="344"/>
      <c r="K6" s="352"/>
      <c r="L6" s="352"/>
      <c r="M6" s="370"/>
      <c r="N6" s="401">
        <f>IF(L7=0,0,(H7-H5)/(L7-L5))</f>
        <v>11</v>
      </c>
      <c r="O6" s="401">
        <f>IF(L7-L5&lt;0,0,L7-L5)</f>
        <v>125000</v>
      </c>
    </row>
    <row r="7" spans="1:15" ht="13.5" thickBot="1">
      <c r="A7" s="401" t="str">
        <f>IF(C7=0,0,CONCATENATE(B7," ",$D$2))</f>
        <v>2 Top</v>
      </c>
      <c r="B7" s="351">
        <v>2</v>
      </c>
      <c r="C7" s="353">
        <v>6.25</v>
      </c>
      <c r="D7" s="360">
        <v>3500000</v>
      </c>
      <c r="E7" s="362">
        <f>D7*C7</f>
        <v>21875000</v>
      </c>
      <c r="F7" s="355">
        <f>IF(C7=0,0,$F$5)</f>
        <v>2</v>
      </c>
      <c r="G7" s="362">
        <f>F7*D7</f>
        <v>7000000</v>
      </c>
      <c r="H7" s="368">
        <f>E7-G7</f>
        <v>14875000</v>
      </c>
      <c r="I7" s="341">
        <f>IF(C7=0,0,$I$5)</f>
        <v>0</v>
      </c>
      <c r="J7" s="345">
        <f>H7-I7</f>
        <v>14875000</v>
      </c>
      <c r="K7" s="371">
        <f>C7-F7</f>
        <v>4.25</v>
      </c>
      <c r="L7" s="369">
        <f>D7/$D$3</f>
        <v>875000</v>
      </c>
      <c r="M7" s="369">
        <f>IF(L7=0,0,H7/L7)</f>
        <v>17</v>
      </c>
      <c r="N7" s="403"/>
      <c r="O7" s="402"/>
    </row>
    <row r="8" spans="1:15" ht="13.5" thickBot="1">
      <c r="A8" s="402"/>
      <c r="B8" s="352"/>
      <c r="C8" s="357"/>
      <c r="D8" s="359"/>
      <c r="E8" s="363"/>
      <c r="F8" s="364"/>
      <c r="G8" s="363"/>
      <c r="H8" s="367"/>
      <c r="I8" s="342"/>
      <c r="J8" s="344"/>
      <c r="K8" s="352"/>
      <c r="L8" s="370"/>
      <c r="M8" s="370"/>
      <c r="N8" s="401">
        <f>IF(L9=0,0,(H9-H7)/(L9-L7))</f>
        <v>9</v>
      </c>
      <c r="O8" s="401">
        <f>IF(L9-L7&lt;0,0,L9-L7)</f>
        <v>125000</v>
      </c>
    </row>
    <row r="9" spans="1:15" ht="13.5" customHeight="1" thickBot="1">
      <c r="A9" s="401" t="str">
        <f>IF(C9=0,0,CONCATENATE(B9," ",$D$2))</f>
        <v>3 Top</v>
      </c>
      <c r="B9" s="351">
        <v>3</v>
      </c>
      <c r="C9" s="353">
        <v>6</v>
      </c>
      <c r="D9" s="360">
        <v>4000000</v>
      </c>
      <c r="E9" s="362">
        <f>D9*C9</f>
        <v>24000000</v>
      </c>
      <c r="F9" s="355">
        <f>IF(C9=0,0,$F$5)</f>
        <v>2</v>
      </c>
      <c r="G9" s="362">
        <f>F9*D9</f>
        <v>8000000</v>
      </c>
      <c r="H9" s="368">
        <f>E9-G9</f>
        <v>16000000</v>
      </c>
      <c r="I9" s="341">
        <f>IF(C9=0,0,$I$5)</f>
        <v>0</v>
      </c>
      <c r="J9" s="345">
        <f>H9-I9</f>
        <v>16000000</v>
      </c>
      <c r="K9" s="371">
        <f>C9-F9</f>
        <v>4</v>
      </c>
      <c r="L9" s="369">
        <f>D9/$D$3</f>
        <v>1000000</v>
      </c>
      <c r="M9" s="369">
        <f>IF(L9=0,0,H9/L9)</f>
        <v>16</v>
      </c>
      <c r="N9" s="403"/>
      <c r="O9" s="402"/>
    </row>
    <row r="10" spans="1:15" ht="13.5" customHeight="1" thickBot="1">
      <c r="A10" s="402"/>
      <c r="B10" s="352"/>
      <c r="C10" s="357"/>
      <c r="D10" s="359"/>
      <c r="E10" s="363"/>
      <c r="F10" s="364"/>
      <c r="G10" s="363"/>
      <c r="H10" s="367"/>
      <c r="I10" s="342"/>
      <c r="J10" s="344"/>
      <c r="K10" s="352"/>
      <c r="L10" s="370"/>
      <c r="M10" s="370"/>
      <c r="N10" s="401">
        <f>IF(L11=0,0,(H11-H9)/(L11-L9))</f>
        <v>7</v>
      </c>
      <c r="O10" s="401">
        <f>IF(L11-L9&lt;0,0,L11-L9)</f>
        <v>125000</v>
      </c>
    </row>
    <row r="11" spans="1:15" ht="13.5" customHeight="1" thickBot="1">
      <c r="A11" s="401" t="str">
        <f>IF(C11=0,0,CONCATENATE(B11," ",$D$2))</f>
        <v>4 Top</v>
      </c>
      <c r="B11" s="351">
        <v>4</v>
      </c>
      <c r="C11" s="353">
        <v>5.75</v>
      </c>
      <c r="D11" s="360">
        <v>4500000</v>
      </c>
      <c r="E11" s="362">
        <f>D11*C11</f>
        <v>25875000</v>
      </c>
      <c r="F11" s="355">
        <f>IF(C11=0,0,$F$5)</f>
        <v>2</v>
      </c>
      <c r="G11" s="362">
        <f>F11*D11</f>
        <v>9000000</v>
      </c>
      <c r="H11" s="368">
        <f>E11-G11</f>
        <v>16875000</v>
      </c>
      <c r="I11" s="341">
        <f>IF(C11=0,0,$I$5)</f>
        <v>0</v>
      </c>
      <c r="J11" s="345">
        <f>H11-I11</f>
        <v>16875000</v>
      </c>
      <c r="K11" s="371">
        <f>C11-F11</f>
        <v>3.75</v>
      </c>
      <c r="L11" s="369">
        <f>D11/$D$3</f>
        <v>1125000</v>
      </c>
      <c r="M11" s="369">
        <f>IF(L11=0,0,H11/L11)</f>
        <v>15</v>
      </c>
      <c r="N11" s="403"/>
      <c r="O11" s="402"/>
    </row>
    <row r="12" spans="1:15" ht="13.5" customHeight="1" thickBot="1">
      <c r="A12" s="402"/>
      <c r="B12" s="352"/>
      <c r="C12" s="357"/>
      <c r="D12" s="359"/>
      <c r="E12" s="363"/>
      <c r="F12" s="356"/>
      <c r="G12" s="363"/>
      <c r="H12" s="367"/>
      <c r="I12" s="342"/>
      <c r="J12" s="344"/>
      <c r="K12" s="352"/>
      <c r="L12" s="370"/>
      <c r="M12" s="370"/>
      <c r="N12" s="401">
        <f>IF(L13=0,0,(H13-H11)/(L13-L11))</f>
        <v>-5</v>
      </c>
      <c r="O12" s="401">
        <f>IF(L13-L11&lt;0,0,L13-L11)</f>
        <v>125000</v>
      </c>
    </row>
    <row r="13" spans="1:15" ht="13.5" customHeight="1" thickBot="1">
      <c r="A13" s="401" t="str">
        <f>IF(C13=0,0,CONCATENATE(B13," ",$D$2))</f>
        <v>5 Top</v>
      </c>
      <c r="B13" s="351">
        <v>5</v>
      </c>
      <c r="C13" s="353">
        <v>5.25</v>
      </c>
      <c r="D13" s="360">
        <v>5000000</v>
      </c>
      <c r="E13" s="362">
        <f>D13*C13</f>
        <v>26250000</v>
      </c>
      <c r="F13" s="355">
        <f>IF(C13=0,0,$F$5)</f>
        <v>2</v>
      </c>
      <c r="G13" s="362">
        <f>F13*D13</f>
        <v>10000000</v>
      </c>
      <c r="H13" s="368">
        <f>E13-G13</f>
        <v>16250000</v>
      </c>
      <c r="I13" s="341">
        <f>IF(C13=0,0,$I$5)</f>
        <v>0</v>
      </c>
      <c r="J13" s="345">
        <f>H13-I13</f>
        <v>16250000</v>
      </c>
      <c r="K13" s="371">
        <f>C13-F13</f>
        <v>3.25</v>
      </c>
      <c r="L13" s="369">
        <f>D13/$D$3</f>
        <v>1250000</v>
      </c>
      <c r="M13" s="369">
        <f>IF(L13=0,0,H13/L13)</f>
        <v>13</v>
      </c>
      <c r="N13" s="403"/>
      <c r="O13" s="402"/>
    </row>
    <row r="14" spans="1:15" ht="13.5" customHeight="1" thickBot="1">
      <c r="A14" s="402"/>
      <c r="B14" s="352"/>
      <c r="C14" s="357"/>
      <c r="D14" s="359"/>
      <c r="E14" s="363"/>
      <c r="F14" s="356"/>
      <c r="G14" s="363"/>
      <c r="H14" s="367"/>
      <c r="I14" s="342"/>
      <c r="J14" s="344"/>
      <c r="K14" s="352"/>
      <c r="L14" s="370"/>
      <c r="M14" s="370"/>
      <c r="N14" s="401">
        <f>IF(L15=0,0,(H15-H13)/(L15-L13))</f>
        <v>0</v>
      </c>
      <c r="O14" s="401">
        <f>IF(L15-L13&lt;0,0,L15-L13)</f>
        <v>0</v>
      </c>
    </row>
    <row r="15" spans="1:15" ht="13.5" customHeight="1" thickBot="1">
      <c r="A15" s="401">
        <f>IF(C15=0,0,CONCATENATE(B15," ",$D$2))</f>
        <v>0</v>
      </c>
      <c r="B15" s="351">
        <v>6</v>
      </c>
      <c r="C15" s="353">
        <v>0</v>
      </c>
      <c r="D15" s="360">
        <v>0</v>
      </c>
      <c r="E15" s="362">
        <f>D15*C15</f>
        <v>0</v>
      </c>
      <c r="F15" s="355">
        <f>IF(C15=0,0,$F$5)</f>
        <v>0</v>
      </c>
      <c r="G15" s="362">
        <f>F15*D15</f>
        <v>0</v>
      </c>
      <c r="H15" s="368">
        <f>E15-G15</f>
        <v>0</v>
      </c>
      <c r="I15" s="341">
        <f>IF(C15=0,0,$I$5)</f>
        <v>0</v>
      </c>
      <c r="J15" s="345">
        <f>H15-I15</f>
        <v>0</v>
      </c>
      <c r="K15" s="371">
        <f>C15-F15</f>
        <v>0</v>
      </c>
      <c r="L15" s="369">
        <f>D15/$D$3</f>
        <v>0</v>
      </c>
      <c r="M15" s="369">
        <f>IF(L15=0,0,H15/L15)</f>
        <v>0</v>
      </c>
      <c r="N15" s="403"/>
      <c r="O15" s="402"/>
    </row>
    <row r="16" spans="1:15" ht="13.5" customHeight="1" thickBot="1">
      <c r="A16" s="402"/>
      <c r="B16" s="352"/>
      <c r="C16" s="357"/>
      <c r="D16" s="359"/>
      <c r="E16" s="363"/>
      <c r="F16" s="364"/>
      <c r="G16" s="363"/>
      <c r="H16" s="367"/>
      <c r="I16" s="342"/>
      <c r="J16" s="344"/>
      <c r="K16" s="352"/>
      <c r="L16" s="370"/>
      <c r="M16" s="370"/>
      <c r="N16" s="401">
        <f>IF(L17=0,0,(H17-H15)/(L17-L15))</f>
        <v>0</v>
      </c>
      <c r="O16" s="401">
        <f>IF(L17-L15&lt;0,0,L17-L15)</f>
        <v>0</v>
      </c>
    </row>
    <row r="17" spans="1:15" ht="13.5" customHeight="1" thickBot="1">
      <c r="A17" s="401">
        <f>IF(C17=0,0,CONCATENATE(B17," ",$D$2))</f>
        <v>0</v>
      </c>
      <c r="B17" s="351">
        <v>7</v>
      </c>
      <c r="C17" s="353">
        <v>0</v>
      </c>
      <c r="D17" s="360">
        <v>0</v>
      </c>
      <c r="E17" s="362">
        <f>D17*C17</f>
        <v>0</v>
      </c>
      <c r="F17" s="355">
        <f>IF(C17=0,0,$F$5)</f>
        <v>0</v>
      </c>
      <c r="G17" s="362">
        <f>F17*D17</f>
        <v>0</v>
      </c>
      <c r="H17" s="368">
        <f>E17-G17</f>
        <v>0</v>
      </c>
      <c r="I17" s="341">
        <f>IF(C17=0,0,$I$5)</f>
        <v>0</v>
      </c>
      <c r="J17" s="345">
        <f>H17-I17</f>
        <v>0</v>
      </c>
      <c r="K17" s="371">
        <f>C17-F17</f>
        <v>0</v>
      </c>
      <c r="L17" s="369">
        <f>D17/$D$3</f>
        <v>0</v>
      </c>
      <c r="M17" s="369">
        <f>IF(L17=0,0,H17/L17)</f>
        <v>0</v>
      </c>
      <c r="N17" s="403"/>
      <c r="O17" s="402"/>
    </row>
    <row r="18" spans="1:15" ht="13.5" customHeight="1" thickBot="1">
      <c r="A18" s="402"/>
      <c r="B18" s="352"/>
      <c r="C18" s="354"/>
      <c r="D18" s="336"/>
      <c r="E18" s="337"/>
      <c r="F18" s="364"/>
      <c r="G18" s="337"/>
      <c r="H18" s="339"/>
      <c r="I18" s="342"/>
      <c r="J18" s="338"/>
      <c r="K18" s="352"/>
      <c r="L18" s="370"/>
      <c r="M18" s="370"/>
      <c r="N18" s="401">
        <f>IF(L19=0,0,(H19-H17)/(L19-L17))</f>
        <v>0</v>
      </c>
      <c r="O18" s="401">
        <f>IF(L19-L17&lt;0,0,L19-L17)</f>
        <v>0</v>
      </c>
    </row>
    <row r="19" spans="1:15" ht="12.75" customHeight="1" thickBot="1">
      <c r="A19" s="401">
        <f>IF(C19=0,0,CONCATENATE(B19," ",$D$2))</f>
        <v>0</v>
      </c>
      <c r="B19" s="351">
        <v>8</v>
      </c>
      <c r="C19" s="353">
        <v>0</v>
      </c>
      <c r="D19" s="360">
        <v>0</v>
      </c>
      <c r="E19" s="362">
        <f>D19*C19</f>
        <v>0</v>
      </c>
      <c r="F19" s="355">
        <f>IF(C19=0,0,$F$5)</f>
        <v>0</v>
      </c>
      <c r="G19" s="362">
        <f>F19*D19</f>
        <v>0</v>
      </c>
      <c r="H19" s="368">
        <f>E19-G19</f>
        <v>0</v>
      </c>
      <c r="I19" s="341">
        <f>IF(C19=0,0,$I$5)</f>
        <v>0</v>
      </c>
      <c r="J19" s="345">
        <f>H19-I19</f>
        <v>0</v>
      </c>
      <c r="K19" s="377">
        <f>C19-F19</f>
        <v>0</v>
      </c>
      <c r="L19" s="369">
        <f>D19/$D$3</f>
        <v>0</v>
      </c>
      <c r="M19" s="369">
        <f>IF(L19=0,0,H19/L19)</f>
        <v>0</v>
      </c>
      <c r="N19" s="403"/>
      <c r="O19" s="402"/>
    </row>
    <row r="20" spans="1:14" ht="13.5" customHeight="1" thickBot="1">
      <c r="A20" s="402"/>
      <c r="B20" s="352"/>
      <c r="C20" s="354"/>
      <c r="D20" s="336"/>
      <c r="E20" s="337"/>
      <c r="F20" s="356"/>
      <c r="G20" s="337"/>
      <c r="H20" s="339"/>
      <c r="I20" s="378"/>
      <c r="J20" s="338"/>
      <c r="K20" s="352"/>
      <c r="L20" s="370"/>
      <c r="M20" s="370"/>
      <c r="N20" s="379"/>
    </row>
    <row r="21" spans="3:14" ht="12.75" hidden="1">
      <c r="C21" s="373"/>
      <c r="D21" s="374"/>
      <c r="E21" s="374"/>
      <c r="F21" s="373"/>
      <c r="G21" s="374"/>
      <c r="H21" s="374"/>
      <c r="I21" s="374"/>
      <c r="J21" s="374"/>
      <c r="K21" s="375"/>
      <c r="L21" s="379"/>
      <c r="M21" s="379"/>
      <c r="N21" s="376"/>
    </row>
    <row r="22" spans="3:14" ht="12.75" hidden="1">
      <c r="C22" s="373"/>
      <c r="D22" s="374"/>
      <c r="E22" s="374"/>
      <c r="F22" s="373"/>
      <c r="G22" s="374"/>
      <c r="H22" s="374"/>
      <c r="I22" s="374"/>
      <c r="J22" s="374"/>
      <c r="K22" s="376"/>
      <c r="L22" s="376"/>
      <c r="M22" s="379"/>
      <c r="N22" s="379"/>
    </row>
    <row r="23" spans="3:14" ht="12.75" hidden="1">
      <c r="C23" s="373"/>
      <c r="D23" s="374"/>
      <c r="E23" s="374"/>
      <c r="F23" s="373"/>
      <c r="G23" s="374"/>
      <c r="H23" s="374"/>
      <c r="I23" s="374"/>
      <c r="J23" s="374"/>
      <c r="K23" s="375"/>
      <c r="L23" s="379"/>
      <c r="M23" s="379"/>
      <c r="N23" s="376"/>
    </row>
    <row r="24" spans="3:13" ht="12.75" hidden="1">
      <c r="C24" s="373"/>
      <c r="D24" s="374"/>
      <c r="E24" s="374"/>
      <c r="F24" s="373"/>
      <c r="G24" s="374"/>
      <c r="H24" s="374"/>
      <c r="I24" s="374"/>
      <c r="J24" s="374"/>
      <c r="K24" s="376"/>
      <c r="L24" s="376"/>
      <c r="M24" s="379"/>
    </row>
    <row r="25" spans="3:10" ht="21">
      <c r="C25" t="s">
        <v>9</v>
      </c>
      <c r="D25" s="1">
        <f>MAX(J5:J24)</f>
        <v>16875000</v>
      </c>
      <c r="E25" t="s">
        <v>8</v>
      </c>
      <c r="F25" s="13"/>
      <c r="G25" s="12"/>
      <c r="H25" s="13"/>
      <c r="I25" s="13"/>
      <c r="J25" s="66"/>
    </row>
    <row r="26" spans="3:10" ht="21">
      <c r="C26" s="11" t="s">
        <v>14</v>
      </c>
      <c r="D26" s="12">
        <f>IF(D25=J5,C5,IF(D25=J7,C7,IF(D25=J9,C9,IF(D25=J11,C11,IF(D25=J13,C13,IF(D25=J15,C15,IF(D25=J17,C17,IF(D25=J19,C19,"ingen"))))))))</f>
        <v>5.75</v>
      </c>
      <c r="E26" s="12"/>
      <c r="F26" s="13"/>
      <c r="G26" s="12"/>
      <c r="H26" s="13"/>
      <c r="I26" s="13"/>
      <c r="J26" s="66"/>
    </row>
    <row r="27" spans="3:10" ht="21">
      <c r="C27" s="11" t="s">
        <v>15</v>
      </c>
      <c r="D27" s="12">
        <f>IF($D$25=J5,D5,IF($D$25=J7,D7,IF($D$25=J9,D9,IF($D$25=J11,D11,IF($D$25=J13,D13,IF($D$25=J15,D15,IF($D$25=J17,D17,IF(D26=J19,D19,"ingen"))))))))</f>
        <v>4500000</v>
      </c>
      <c r="E27" s="12"/>
      <c r="F27" s="13"/>
      <c r="G27" s="12"/>
      <c r="H27" s="13"/>
      <c r="I27" s="13"/>
      <c r="J27" s="66"/>
    </row>
    <row r="28" spans="3:10" ht="22.5" hidden="1">
      <c r="C28" s="11"/>
      <c r="D28" s="12"/>
      <c r="E28" s="12"/>
      <c r="F28" s="13"/>
      <c r="G28" s="12"/>
      <c r="H28" s="13"/>
      <c r="I28" s="13"/>
      <c r="J28" s="66"/>
    </row>
    <row r="29" ht="18">
      <c r="C29" s="2"/>
    </row>
    <row r="30" spans="3:4" ht="15.75">
      <c r="C30" s="9" t="s">
        <v>12</v>
      </c>
      <c r="D30" s="15" t="s">
        <v>54</v>
      </c>
    </row>
    <row r="31" spans="3:5" ht="16.5" thickBot="1">
      <c r="C31" s="9" t="s">
        <v>13</v>
      </c>
      <c r="D31" s="15">
        <v>4</v>
      </c>
      <c r="E31" t="str">
        <f>E3</f>
        <v>flasker pr. liter.</v>
      </c>
    </row>
    <row r="32" spans="1:15" ht="30.75" thickBot="1">
      <c r="A32" s="50" t="str">
        <f>A4</f>
        <v>Navn</v>
      </c>
      <c r="B32" s="49" t="str">
        <f>B4</f>
        <v>Nr.</v>
      </c>
      <c r="C32" s="3" t="s">
        <v>0</v>
      </c>
      <c r="D32" s="4" t="s">
        <v>1</v>
      </c>
      <c r="E32" s="4" t="s">
        <v>2</v>
      </c>
      <c r="F32" s="4" t="s">
        <v>7</v>
      </c>
      <c r="G32" s="4" t="s">
        <v>3</v>
      </c>
      <c r="H32" s="4" t="s">
        <v>4</v>
      </c>
      <c r="I32" s="4" t="s">
        <v>5</v>
      </c>
      <c r="J32" s="5" t="s">
        <v>6</v>
      </c>
      <c r="K32" s="6" t="s">
        <v>10</v>
      </c>
      <c r="L32" s="7" t="str">
        <f>L4</f>
        <v>Antal liter</v>
      </c>
      <c r="M32" s="10" t="str">
        <f>M4</f>
        <v>DB pr liter</v>
      </c>
      <c r="N32" s="8" t="str">
        <f>N4</f>
        <v>Differensbidrag pr. liter</v>
      </c>
      <c r="O32" s="21" t="str">
        <f>O4</f>
        <v>ekstra liter</v>
      </c>
    </row>
    <row r="33" spans="1:15" ht="13.5" thickBot="1">
      <c r="A33" s="401" t="str">
        <f>IF(C33=0,0,CONCATENATE(B33," ",$D$30))</f>
        <v>1 Ekstra</v>
      </c>
      <c r="B33" s="351">
        <f>B5</f>
        <v>1</v>
      </c>
      <c r="C33" s="380">
        <v>8</v>
      </c>
      <c r="D33" s="382">
        <v>600000</v>
      </c>
      <c r="E33" s="365">
        <f>D33*C33</f>
        <v>4800000</v>
      </c>
      <c r="F33" s="384">
        <v>2.5</v>
      </c>
      <c r="G33" s="365">
        <f>F33*D33</f>
        <v>1500000</v>
      </c>
      <c r="H33" s="366">
        <f>E33-G33</f>
        <v>3300000</v>
      </c>
      <c r="I33" s="385">
        <v>0</v>
      </c>
      <c r="J33" s="343">
        <f>H33-I33</f>
        <v>3300000</v>
      </c>
      <c r="K33" s="371">
        <f>C33-F33</f>
        <v>5.5</v>
      </c>
      <c r="L33" s="372">
        <f>D33/$D$31</f>
        <v>150000</v>
      </c>
      <c r="M33" s="369">
        <f>IF(L33=0,0,H33/L33)</f>
        <v>22</v>
      </c>
      <c r="N33" s="64">
        <f>IF(L33=0,0,H33/L33)</f>
        <v>22</v>
      </c>
      <c r="O33" s="65">
        <f>L33</f>
        <v>150000</v>
      </c>
    </row>
    <row r="34" spans="1:15" ht="13.5" thickBot="1">
      <c r="A34" s="402"/>
      <c r="B34" s="352"/>
      <c r="C34" s="381"/>
      <c r="D34" s="383"/>
      <c r="E34" s="363"/>
      <c r="F34" s="381"/>
      <c r="G34" s="363"/>
      <c r="H34" s="367"/>
      <c r="I34" s="386"/>
      <c r="J34" s="344"/>
      <c r="K34" s="352"/>
      <c r="L34" s="352"/>
      <c r="M34" s="370"/>
      <c r="N34" s="401">
        <f>IF(L35=0,0,(H35-H33)/(L35-L33))</f>
        <v>13.5</v>
      </c>
      <c r="O34" s="401">
        <f>IF(L35-L33&lt;0,0,(L35-L33))</f>
        <v>20000</v>
      </c>
    </row>
    <row r="35" spans="1:15" ht="13.5" thickBot="1">
      <c r="A35" s="401" t="str">
        <f>IF(C35=0,0,CONCATENATE(B35," ",$D$30))</f>
        <v>2 Ekstra</v>
      </c>
      <c r="B35" s="351">
        <f>B7</f>
        <v>2</v>
      </c>
      <c r="C35" s="384">
        <v>7.75</v>
      </c>
      <c r="D35" s="387">
        <v>680000</v>
      </c>
      <c r="E35" s="362">
        <f>D35*C35</f>
        <v>5270000</v>
      </c>
      <c r="F35" s="355">
        <f>IF(C35=0,0,$F$33)</f>
        <v>2.5</v>
      </c>
      <c r="G35" s="362">
        <f>F35*D35</f>
        <v>1700000</v>
      </c>
      <c r="H35" s="368">
        <f>E35-G35</f>
        <v>3570000</v>
      </c>
      <c r="I35" s="341">
        <f>IF(C35=0,0,$I$33)</f>
        <v>0</v>
      </c>
      <c r="J35" s="345">
        <f>H35-I35</f>
        <v>3570000</v>
      </c>
      <c r="K35" s="371">
        <f>C35-F35</f>
        <v>5.25</v>
      </c>
      <c r="L35" s="372">
        <f>D35/$D$31</f>
        <v>170000</v>
      </c>
      <c r="M35" s="369">
        <f>IF(L35=0,0,H35/L35)</f>
        <v>21</v>
      </c>
      <c r="N35" s="403"/>
      <c r="O35" s="402"/>
    </row>
    <row r="36" spans="1:15" ht="13.5" thickBot="1">
      <c r="A36" s="402"/>
      <c r="B36" s="352"/>
      <c r="C36" s="381"/>
      <c r="D36" s="383"/>
      <c r="E36" s="363"/>
      <c r="F36" s="364"/>
      <c r="G36" s="363"/>
      <c r="H36" s="367"/>
      <c r="I36" s="342"/>
      <c r="J36" s="344"/>
      <c r="K36" s="352"/>
      <c r="L36" s="352"/>
      <c r="M36" s="370"/>
      <c r="N36" s="401">
        <f>IF(L37=0,0,(H37-H35)/(L37-L35))</f>
        <v>13.2</v>
      </c>
      <c r="O36" s="401">
        <f>IF(L37-L35&lt;0,0,(L37-L35))</f>
        <v>25000</v>
      </c>
    </row>
    <row r="37" spans="1:15" ht="13.5" customHeight="1" thickBot="1">
      <c r="A37" s="401" t="str">
        <f>IF(C37=0,0,CONCATENATE(B37," ",$D$30))</f>
        <v>3 Ekstra</v>
      </c>
      <c r="B37" s="351">
        <f>B9</f>
        <v>3</v>
      </c>
      <c r="C37" s="384">
        <v>7.5</v>
      </c>
      <c r="D37" s="387">
        <v>780000</v>
      </c>
      <c r="E37" s="362">
        <f>D37*C37</f>
        <v>5850000</v>
      </c>
      <c r="F37" s="355">
        <f>IF(C37=0,0,$F$33)</f>
        <v>2.5</v>
      </c>
      <c r="G37" s="362">
        <f>F37*D37</f>
        <v>1950000</v>
      </c>
      <c r="H37" s="368">
        <f>E37-G37</f>
        <v>3900000</v>
      </c>
      <c r="I37" s="341">
        <f>IF(C37=0,0,$I$33)</f>
        <v>0</v>
      </c>
      <c r="J37" s="345">
        <f>H37-I37</f>
        <v>3900000</v>
      </c>
      <c r="K37" s="371">
        <f>C37-F37</f>
        <v>5</v>
      </c>
      <c r="L37" s="372">
        <f>D37/$D$31</f>
        <v>195000</v>
      </c>
      <c r="M37" s="369">
        <f>IF(L37=0,0,H37/L37)</f>
        <v>20</v>
      </c>
      <c r="N37" s="403"/>
      <c r="O37" s="402"/>
    </row>
    <row r="38" spans="1:15" ht="13.5" customHeight="1" thickBot="1">
      <c r="A38" s="402"/>
      <c r="B38" s="352"/>
      <c r="C38" s="381"/>
      <c r="D38" s="383"/>
      <c r="E38" s="363"/>
      <c r="F38" s="364"/>
      <c r="G38" s="363"/>
      <c r="H38" s="367"/>
      <c r="I38" s="342"/>
      <c r="J38" s="344"/>
      <c r="K38" s="352"/>
      <c r="L38" s="352"/>
      <c r="M38" s="370"/>
      <c r="N38" s="401">
        <f>IF(L39=0,0,(H39-H37)/(L39-L37))</f>
        <v>3.4</v>
      </c>
      <c r="O38" s="401">
        <f>IF(L39-L37&lt;0,0,(L39-L37))</f>
        <v>12500</v>
      </c>
    </row>
    <row r="39" spans="1:15" ht="13.5" customHeight="1" thickBot="1">
      <c r="A39" s="401" t="str">
        <f>IF(C39=0,0,CONCATENATE(B39," ",$D$30))</f>
        <v>4 Ekstra</v>
      </c>
      <c r="B39" s="351">
        <f>B11</f>
        <v>4</v>
      </c>
      <c r="C39" s="384">
        <v>7.25</v>
      </c>
      <c r="D39" s="387">
        <v>830000</v>
      </c>
      <c r="E39" s="362">
        <f>D39*C39</f>
        <v>6017500</v>
      </c>
      <c r="F39" s="355">
        <f>IF(C39=0,0,$F$33)</f>
        <v>2.5</v>
      </c>
      <c r="G39" s="362">
        <f>F39*D39</f>
        <v>2075000</v>
      </c>
      <c r="H39" s="368">
        <f>E39-G39</f>
        <v>3942500</v>
      </c>
      <c r="I39" s="341">
        <f>IF(C39=0,0,$I$33)</f>
        <v>0</v>
      </c>
      <c r="J39" s="345">
        <f>H39-I39</f>
        <v>3942500</v>
      </c>
      <c r="K39" s="371">
        <f>C39-F39</f>
        <v>4.75</v>
      </c>
      <c r="L39" s="372">
        <f>D39/$D$31</f>
        <v>207500</v>
      </c>
      <c r="M39" s="369">
        <f>IF(L39=0,0,H39/L39)</f>
        <v>19</v>
      </c>
      <c r="N39" s="403"/>
      <c r="O39" s="402"/>
    </row>
    <row r="40" spans="1:15" ht="13.5" customHeight="1" thickBot="1">
      <c r="A40" s="402"/>
      <c r="B40" s="352"/>
      <c r="C40" s="381"/>
      <c r="D40" s="383"/>
      <c r="E40" s="363"/>
      <c r="F40" s="364"/>
      <c r="G40" s="363"/>
      <c r="H40" s="367"/>
      <c r="I40" s="342"/>
      <c r="J40" s="344"/>
      <c r="K40" s="352"/>
      <c r="L40" s="352"/>
      <c r="M40" s="370"/>
      <c r="N40" s="401">
        <f>IF(L41=0,0,(H41-H39)/(L41-L39))</f>
        <v>6.142857142857143</v>
      </c>
      <c r="O40" s="401">
        <f>IF(L41-L39&lt;0,0,(L41-L39))</f>
        <v>17500</v>
      </c>
    </row>
    <row r="41" spans="1:15" ht="13.5" customHeight="1" thickBot="1">
      <c r="A41" s="401" t="str">
        <f>IF(C41=0,0,CONCATENATE(B41," ",$D$30))</f>
        <v>5 Ekstra</v>
      </c>
      <c r="B41" s="351">
        <f>B13</f>
        <v>5</v>
      </c>
      <c r="C41" s="384">
        <v>7</v>
      </c>
      <c r="D41" s="387">
        <v>900000</v>
      </c>
      <c r="E41" s="362">
        <f>D41*C41</f>
        <v>6300000</v>
      </c>
      <c r="F41" s="355">
        <f>IF(C41=0,0,$F$33)</f>
        <v>2.5</v>
      </c>
      <c r="G41" s="362">
        <f>F41*D41</f>
        <v>2250000</v>
      </c>
      <c r="H41" s="368">
        <f>E41-G41</f>
        <v>4050000</v>
      </c>
      <c r="I41" s="341">
        <f>IF(C41=0,0,$I$33)</f>
        <v>0</v>
      </c>
      <c r="J41" s="345">
        <f>H41-I41</f>
        <v>4050000</v>
      </c>
      <c r="K41" s="371">
        <f>C41-F41</f>
        <v>4.5</v>
      </c>
      <c r="L41" s="372">
        <f>D41/$D$31</f>
        <v>225000</v>
      </c>
      <c r="M41" s="369">
        <f>IF(L41=0,0,H41/L41)</f>
        <v>18</v>
      </c>
      <c r="N41" s="403"/>
      <c r="O41" s="402"/>
    </row>
    <row r="42" spans="1:15" ht="13.5" customHeight="1" thickBot="1">
      <c r="A42" s="402"/>
      <c r="B42" s="352"/>
      <c r="C42" s="381"/>
      <c r="D42" s="383"/>
      <c r="E42" s="363"/>
      <c r="F42" s="364"/>
      <c r="G42" s="363"/>
      <c r="H42" s="367"/>
      <c r="I42" s="342"/>
      <c r="J42" s="344"/>
      <c r="K42" s="352"/>
      <c r="L42" s="352"/>
      <c r="M42" s="370"/>
      <c r="N42" s="401">
        <f>IF(L43=0,0,(H43-H41)/(L43-L41))</f>
        <v>0</v>
      </c>
      <c r="O42" s="401">
        <f>IF(L43-L41&lt;0,0,(L43-L41))</f>
        <v>0</v>
      </c>
    </row>
    <row r="43" spans="1:15" ht="13.5" customHeight="1" thickBot="1">
      <c r="A43" s="401">
        <f>IF(C43=0,0,CONCATENATE(B43," ",$D$30))</f>
        <v>0</v>
      </c>
      <c r="B43" s="351">
        <f>B15</f>
        <v>6</v>
      </c>
      <c r="C43" s="384">
        <v>0</v>
      </c>
      <c r="D43" s="387">
        <v>0</v>
      </c>
      <c r="E43" s="362">
        <f>D43*C43</f>
        <v>0</v>
      </c>
      <c r="F43" s="355">
        <f>IF(C43=0,0,$F$33)</f>
        <v>0</v>
      </c>
      <c r="G43" s="362">
        <f>F43*D43</f>
        <v>0</v>
      </c>
      <c r="H43" s="368">
        <f>E43-G43</f>
        <v>0</v>
      </c>
      <c r="I43" s="341">
        <f>IF(C43=0,0,$I$33)</f>
        <v>0</v>
      </c>
      <c r="J43" s="345">
        <f>H43-I43</f>
        <v>0</v>
      </c>
      <c r="K43" s="371">
        <f>C43-F43</f>
        <v>0</v>
      </c>
      <c r="L43" s="372">
        <f>D43/$D$31</f>
        <v>0</v>
      </c>
      <c r="M43" s="369">
        <f>IF(L43=0,0,H43/L43)</f>
        <v>0</v>
      </c>
      <c r="N43" s="403"/>
      <c r="O43" s="402"/>
    </row>
    <row r="44" spans="1:15" ht="13.5" customHeight="1" thickBot="1">
      <c r="A44" s="402"/>
      <c r="B44" s="352"/>
      <c r="C44" s="381"/>
      <c r="D44" s="383"/>
      <c r="E44" s="363"/>
      <c r="F44" s="364"/>
      <c r="G44" s="363"/>
      <c r="H44" s="367"/>
      <c r="I44" s="342"/>
      <c r="J44" s="344"/>
      <c r="K44" s="352"/>
      <c r="L44" s="352"/>
      <c r="M44" s="370"/>
      <c r="N44" s="401">
        <f>IF(L45=0,0,(H45-H43)/(L45-L43))</f>
        <v>0</v>
      </c>
      <c r="O44" s="401">
        <f>IF(L45-L43&lt;0,0,(L45-L43))</f>
        <v>0</v>
      </c>
    </row>
    <row r="45" spans="1:15" ht="13.5" customHeight="1" thickBot="1">
      <c r="A45" s="401">
        <f>IF(C45=0,0,CONCATENATE(B45," ",$D$30))</f>
        <v>0</v>
      </c>
      <c r="B45" s="351">
        <f>B17</f>
        <v>7</v>
      </c>
      <c r="C45" s="384">
        <v>0</v>
      </c>
      <c r="D45" s="387">
        <v>0</v>
      </c>
      <c r="E45" s="362">
        <f>D45*C45</f>
        <v>0</v>
      </c>
      <c r="F45" s="355">
        <f>IF(C45=0,0,$F$33)</f>
        <v>0</v>
      </c>
      <c r="G45" s="362">
        <f>F45*D45</f>
        <v>0</v>
      </c>
      <c r="H45" s="368">
        <f>E45-G45</f>
        <v>0</v>
      </c>
      <c r="I45" s="341">
        <f>IF(C45=0,0,$I$33)</f>
        <v>0</v>
      </c>
      <c r="J45" s="345">
        <f>H45-I45</f>
        <v>0</v>
      </c>
      <c r="K45" s="371">
        <f>C45-F45</f>
        <v>0</v>
      </c>
      <c r="L45" s="372">
        <f>D45/$D$31</f>
        <v>0</v>
      </c>
      <c r="M45" s="369">
        <f>IF(L45=0,0,H45/L45)</f>
        <v>0</v>
      </c>
      <c r="N45" s="403"/>
      <c r="O45" s="402"/>
    </row>
    <row r="46" spans="1:15" ht="13.5" customHeight="1" thickBot="1">
      <c r="A46" s="402"/>
      <c r="B46" s="352"/>
      <c r="C46" s="388"/>
      <c r="D46" s="389"/>
      <c r="E46" s="337"/>
      <c r="F46" s="364"/>
      <c r="G46" s="337"/>
      <c r="H46" s="339"/>
      <c r="I46" s="342"/>
      <c r="J46" s="338"/>
      <c r="K46" s="352"/>
      <c r="L46" s="352"/>
      <c r="M46" s="370"/>
      <c r="N46" s="401">
        <f>IF(L47=0,0,(H47-H45)/(L47-L45))</f>
        <v>0</v>
      </c>
      <c r="O46" s="401">
        <f>IF(L47-L45&lt;0,0,(L47-L45))</f>
        <v>0</v>
      </c>
    </row>
    <row r="47" spans="1:15" ht="13.5" customHeight="1" thickBot="1">
      <c r="A47" s="401">
        <f>IF(C47=0,0,CONCATENATE(B47," ",$D$30))</f>
        <v>0</v>
      </c>
      <c r="B47" s="351">
        <f>B19</f>
        <v>8</v>
      </c>
      <c r="C47" s="384">
        <v>0</v>
      </c>
      <c r="D47" s="387">
        <v>0</v>
      </c>
      <c r="E47" s="362">
        <f>D47*C47</f>
        <v>0</v>
      </c>
      <c r="F47" s="355">
        <f>IF(C47=0,0,$F$33)</f>
        <v>0</v>
      </c>
      <c r="G47" s="362">
        <f>F47*D47</f>
        <v>0</v>
      </c>
      <c r="H47" s="368">
        <f>E47-G47</f>
        <v>0</v>
      </c>
      <c r="I47" s="341">
        <f>IF(C47=0,0,$I$33)</f>
        <v>0</v>
      </c>
      <c r="J47" s="345">
        <f>H47-I47</f>
        <v>0</v>
      </c>
      <c r="K47" s="377">
        <f>C47-F47</f>
        <v>0</v>
      </c>
      <c r="L47" s="372">
        <f>D47/$D$31</f>
        <v>0</v>
      </c>
      <c r="M47" s="369">
        <f>IF(L47=0,0,H47/L47)</f>
        <v>0</v>
      </c>
      <c r="N47" s="403"/>
      <c r="O47" s="402"/>
    </row>
    <row r="48" spans="1:14" ht="13.5" customHeight="1" thickBot="1">
      <c r="A48" s="402"/>
      <c r="B48" s="352"/>
      <c r="C48" s="388"/>
      <c r="D48" s="389"/>
      <c r="E48" s="337"/>
      <c r="F48" s="356"/>
      <c r="G48" s="337"/>
      <c r="H48" s="339"/>
      <c r="I48" s="378"/>
      <c r="J48" s="338"/>
      <c r="K48" s="352"/>
      <c r="L48" s="352"/>
      <c r="M48" s="370"/>
      <c r="N48" s="379"/>
    </row>
    <row r="49" spans="3:14" ht="12.75" hidden="1">
      <c r="C49" s="373"/>
      <c r="D49" s="374"/>
      <c r="E49" s="374"/>
      <c r="F49" s="373"/>
      <c r="G49" s="374"/>
      <c r="H49" s="374"/>
      <c r="I49" s="374"/>
      <c r="J49" s="374"/>
      <c r="K49" s="375"/>
      <c r="L49" s="379"/>
      <c r="M49" s="379"/>
      <c r="N49" s="376"/>
    </row>
    <row r="50" spans="3:14" ht="12.75" hidden="1">
      <c r="C50" s="373"/>
      <c r="D50" s="374"/>
      <c r="E50" s="374"/>
      <c r="F50" s="373"/>
      <c r="G50" s="374"/>
      <c r="H50" s="374"/>
      <c r="I50" s="374"/>
      <c r="J50" s="374"/>
      <c r="K50" s="376"/>
      <c r="L50" s="376"/>
      <c r="M50" s="379"/>
      <c r="N50" s="379"/>
    </row>
    <row r="51" spans="3:14" ht="12.75" hidden="1">
      <c r="C51" s="373"/>
      <c r="D51" s="374"/>
      <c r="E51" s="374"/>
      <c r="F51" s="373"/>
      <c r="G51" s="374"/>
      <c r="H51" s="374"/>
      <c r="I51" s="374"/>
      <c r="J51" s="374"/>
      <c r="K51" s="375"/>
      <c r="L51" s="379"/>
      <c r="M51" s="379"/>
      <c r="N51" s="376"/>
    </row>
    <row r="52" spans="3:13" ht="12.75" hidden="1">
      <c r="C52" s="373"/>
      <c r="D52" s="374"/>
      <c r="E52" s="374"/>
      <c r="F52" s="373"/>
      <c r="G52" s="374"/>
      <c r="H52" s="374"/>
      <c r="I52" s="374"/>
      <c r="J52" s="374"/>
      <c r="K52" s="376"/>
      <c r="L52" s="376"/>
      <c r="M52" s="379"/>
    </row>
    <row r="53" spans="3:10" ht="21">
      <c r="C53" t="s">
        <v>9</v>
      </c>
      <c r="D53" s="1">
        <f>MAX(J33:J52)</f>
        <v>4050000</v>
      </c>
      <c r="E53" t="s">
        <v>8</v>
      </c>
      <c r="F53" s="13"/>
      <c r="G53" s="12"/>
      <c r="H53" s="13"/>
      <c r="I53" s="13"/>
      <c r="J53" s="66"/>
    </row>
    <row r="54" spans="3:10" ht="21">
      <c r="C54" s="11" t="s">
        <v>14</v>
      </c>
      <c r="D54" s="12">
        <f>IF(D53=J33,C33,IF(D53=J35,C35,IF(D53=J37,C37,IF(D53=J39,C39,IF(D53=J41,C41,IF(D53=J43,C43,IF(D53=J45,C45,IF(D53=J47,C47,"ingen"))))))))</f>
        <v>7</v>
      </c>
      <c r="E54" s="12"/>
      <c r="F54" s="13"/>
      <c r="G54" s="12"/>
      <c r="H54" s="13"/>
      <c r="I54" s="13"/>
      <c r="J54" s="66"/>
    </row>
    <row r="55" spans="3:10" ht="21">
      <c r="C55" s="11" t="s">
        <v>15</v>
      </c>
      <c r="D55" s="12">
        <f>IF(D53=J33,D33,IF(D53=J35,D35,IF(D53=J37,D37,IF(D53=J39,D39,IF(D53=J41,D41,IF(D53=J43,D43,IF(D53=J45,D45,IF(D53=J47,D47,"ingen"))))))))</f>
        <v>900000</v>
      </c>
      <c r="E55" s="12"/>
      <c r="F55" s="13"/>
      <c r="G55" s="12"/>
      <c r="H55" s="13"/>
      <c r="I55" s="13"/>
      <c r="J55" s="66"/>
    </row>
    <row r="57" ht="18" hidden="1">
      <c r="C57" s="2"/>
    </row>
    <row r="58" spans="3:4" ht="15.75">
      <c r="C58" s="9" t="s">
        <v>12</v>
      </c>
      <c r="D58" s="16" t="s">
        <v>55</v>
      </c>
    </row>
    <row r="59" spans="3:5" ht="16.5" thickBot="1">
      <c r="C59" s="9" t="s">
        <v>13</v>
      </c>
      <c r="D59" s="16">
        <v>4</v>
      </c>
      <c r="E59" t="str">
        <f>E31</f>
        <v>flasker pr. liter.</v>
      </c>
    </row>
    <row r="60" spans="1:15" ht="30.75" thickBot="1">
      <c r="A60" s="50" t="str">
        <f>A32</f>
        <v>Navn</v>
      </c>
      <c r="B60" s="49" t="str">
        <f>B32</f>
        <v>Nr.</v>
      </c>
      <c r="C60" s="3" t="s">
        <v>0</v>
      </c>
      <c r="D60" s="4" t="s">
        <v>1</v>
      </c>
      <c r="E60" s="4" t="s">
        <v>2</v>
      </c>
      <c r="F60" s="4" t="s">
        <v>7</v>
      </c>
      <c r="G60" s="4" t="s">
        <v>3</v>
      </c>
      <c r="H60" s="4" t="s">
        <v>4</v>
      </c>
      <c r="I60" s="4" t="s">
        <v>5</v>
      </c>
      <c r="J60" s="5" t="s">
        <v>6</v>
      </c>
      <c r="K60" s="6" t="s">
        <v>10</v>
      </c>
      <c r="L60" s="7" t="s">
        <v>11</v>
      </c>
      <c r="M60" s="10" t="str">
        <f>M32</f>
        <v>DB pr liter</v>
      </c>
      <c r="N60" s="8" t="str">
        <f>N32</f>
        <v>Differensbidrag pr. liter</v>
      </c>
      <c r="O60" s="21" t="str">
        <f>O32</f>
        <v>ekstra liter</v>
      </c>
    </row>
    <row r="61" spans="1:15" ht="13.5" thickBot="1">
      <c r="A61" s="401" t="str">
        <f>IF(C61=0,0,CONCATENATE(B61," ",$D$58))</f>
        <v>1 Top export</v>
      </c>
      <c r="B61" s="351">
        <f>B33</f>
        <v>1</v>
      </c>
      <c r="C61" s="390">
        <v>5</v>
      </c>
      <c r="D61" s="392">
        <v>4000000</v>
      </c>
      <c r="E61" s="365">
        <f>D61*C61</f>
        <v>20000000</v>
      </c>
      <c r="F61" s="394">
        <v>2.25</v>
      </c>
      <c r="G61" s="365">
        <f>F61*D61</f>
        <v>9000000</v>
      </c>
      <c r="H61" s="366">
        <f>E61-G61</f>
        <v>11000000</v>
      </c>
      <c r="I61" s="395">
        <v>0</v>
      </c>
      <c r="J61" s="343">
        <f>H61-I61</f>
        <v>11000000</v>
      </c>
      <c r="K61" s="371">
        <f>C61-F61</f>
        <v>2.75</v>
      </c>
      <c r="L61" s="372">
        <f>D61/$D$59</f>
        <v>1000000</v>
      </c>
      <c r="M61" s="369">
        <f>IF(L61=0,0,H61/L61)</f>
        <v>11</v>
      </c>
      <c r="N61" s="64">
        <f>IF(L61=0,0,H61/L61)</f>
        <v>11</v>
      </c>
      <c r="O61" s="65">
        <f>L61</f>
        <v>1000000</v>
      </c>
    </row>
    <row r="62" spans="1:15" ht="13.5" thickBot="1">
      <c r="A62" s="402"/>
      <c r="B62" s="352"/>
      <c r="C62" s="391"/>
      <c r="D62" s="393"/>
      <c r="E62" s="363"/>
      <c r="F62" s="391"/>
      <c r="G62" s="363"/>
      <c r="H62" s="367"/>
      <c r="I62" s="396"/>
      <c r="J62" s="344"/>
      <c r="K62" s="352"/>
      <c r="L62" s="352"/>
      <c r="M62" s="370"/>
      <c r="N62" s="401">
        <f>IF(L63=0,0,(H63-H61)/(L63-L61))</f>
        <v>0</v>
      </c>
      <c r="O62" s="401">
        <f>IF(L63-L61&lt;0,0,L63-L61)</f>
        <v>0</v>
      </c>
    </row>
    <row r="63" spans="1:15" ht="13.5" thickBot="1">
      <c r="A63" s="401">
        <f>IF(C63=0,0,CONCATENATE(B63," ",$D$58))</f>
        <v>0</v>
      </c>
      <c r="B63" s="351">
        <f>B35</f>
        <v>2</v>
      </c>
      <c r="C63" s="394">
        <v>0</v>
      </c>
      <c r="D63" s="397">
        <v>0</v>
      </c>
      <c r="E63" s="362">
        <f>D63*C63</f>
        <v>0</v>
      </c>
      <c r="F63" s="355">
        <f>IF(C63=0,0,$F$61)</f>
        <v>0</v>
      </c>
      <c r="G63" s="362">
        <f>F63*D63</f>
        <v>0</v>
      </c>
      <c r="H63" s="368">
        <f>E63-G63</f>
        <v>0</v>
      </c>
      <c r="I63" s="341">
        <f>IF(C63=0,0,$I$61)</f>
        <v>0</v>
      </c>
      <c r="J63" s="345">
        <f>H63-I63</f>
        <v>0</v>
      </c>
      <c r="K63" s="371">
        <f>C63-F63</f>
        <v>0</v>
      </c>
      <c r="L63" s="372">
        <f>D63/$D$59</f>
        <v>0</v>
      </c>
      <c r="M63" s="369">
        <f>IF(L63=0,0,H63/L63)</f>
        <v>0</v>
      </c>
      <c r="N63" s="403"/>
      <c r="O63" s="402"/>
    </row>
    <row r="64" spans="1:15" ht="13.5" thickBot="1">
      <c r="A64" s="402"/>
      <c r="B64" s="352"/>
      <c r="C64" s="391"/>
      <c r="D64" s="393"/>
      <c r="E64" s="363"/>
      <c r="F64" s="364"/>
      <c r="G64" s="363"/>
      <c r="H64" s="367"/>
      <c r="I64" s="342"/>
      <c r="J64" s="344"/>
      <c r="K64" s="352"/>
      <c r="L64" s="352"/>
      <c r="M64" s="370"/>
      <c r="N64" s="401">
        <f>IF(L65=0,0,(H65-H63)/(L65-L63))</f>
        <v>0</v>
      </c>
      <c r="O64" s="401">
        <f>IF(L65-L63&lt;0,0,L65-L63)</f>
        <v>0</v>
      </c>
    </row>
    <row r="65" spans="1:15" ht="13.5" customHeight="1" thickBot="1">
      <c r="A65" s="401">
        <f>IF(C65=0,0,CONCATENATE(B65," ",$D$58))</f>
        <v>0</v>
      </c>
      <c r="B65" s="351">
        <f>B37</f>
        <v>3</v>
      </c>
      <c r="C65" s="394">
        <v>0</v>
      </c>
      <c r="D65" s="397">
        <v>0</v>
      </c>
      <c r="E65" s="362">
        <f>D65*C65</f>
        <v>0</v>
      </c>
      <c r="F65" s="355">
        <f>IF(C65=0,0,$F$61)</f>
        <v>0</v>
      </c>
      <c r="G65" s="362">
        <f>F65*D65</f>
        <v>0</v>
      </c>
      <c r="H65" s="368">
        <f>E65-G65</f>
        <v>0</v>
      </c>
      <c r="I65" s="341">
        <f>IF(C65=0,0,$I$61)</f>
        <v>0</v>
      </c>
      <c r="J65" s="345">
        <f>H65-I65</f>
        <v>0</v>
      </c>
      <c r="K65" s="371">
        <f>C65-F65</f>
        <v>0</v>
      </c>
      <c r="L65" s="372">
        <f>D65/$D$59</f>
        <v>0</v>
      </c>
      <c r="M65" s="369">
        <f>IF(L65=0,0,H65/L65)</f>
        <v>0</v>
      </c>
      <c r="N65" s="403"/>
      <c r="O65" s="402"/>
    </row>
    <row r="66" spans="1:15" ht="13.5" customHeight="1" thickBot="1">
      <c r="A66" s="402"/>
      <c r="B66" s="352"/>
      <c r="C66" s="391"/>
      <c r="D66" s="393"/>
      <c r="E66" s="363"/>
      <c r="F66" s="364"/>
      <c r="G66" s="363"/>
      <c r="H66" s="367"/>
      <c r="I66" s="342"/>
      <c r="J66" s="344"/>
      <c r="K66" s="352"/>
      <c r="L66" s="352"/>
      <c r="M66" s="370"/>
      <c r="N66" s="401">
        <f>IF(L67=0,0,(H67-H65)/(L67-L65))</f>
        <v>0</v>
      </c>
      <c r="O66" s="401">
        <f>IF(L67-L65&lt;0,0,L67-L65)</f>
        <v>0</v>
      </c>
    </row>
    <row r="67" spans="1:15" ht="13.5" customHeight="1" thickBot="1">
      <c r="A67" s="401">
        <f>IF(C67=0,0,CONCATENATE(B67," ",$D$58))</f>
        <v>0</v>
      </c>
      <c r="B67" s="351">
        <f>B39</f>
        <v>4</v>
      </c>
      <c r="C67" s="394">
        <v>0</v>
      </c>
      <c r="D67" s="397">
        <v>0</v>
      </c>
      <c r="E67" s="362">
        <f>D67*C67</f>
        <v>0</v>
      </c>
      <c r="F67" s="355">
        <f>IF(C67=0,0,$F$61)</f>
        <v>0</v>
      </c>
      <c r="G67" s="362">
        <f>F67*D67</f>
        <v>0</v>
      </c>
      <c r="H67" s="368">
        <f>E67-G67</f>
        <v>0</v>
      </c>
      <c r="I67" s="341">
        <f>IF(C67=0,0,$I$61)</f>
        <v>0</v>
      </c>
      <c r="J67" s="345">
        <f>H67-I67</f>
        <v>0</v>
      </c>
      <c r="K67" s="371">
        <f>C67-F67</f>
        <v>0</v>
      </c>
      <c r="L67" s="372">
        <f>D67/$D$59</f>
        <v>0</v>
      </c>
      <c r="M67" s="369">
        <f>IF(L67=0,0,H67/L67)</f>
        <v>0</v>
      </c>
      <c r="N67" s="403"/>
      <c r="O67" s="402"/>
    </row>
    <row r="68" spans="1:15" ht="13.5" customHeight="1" thickBot="1">
      <c r="A68" s="402"/>
      <c r="B68" s="352"/>
      <c r="C68" s="391"/>
      <c r="D68" s="393"/>
      <c r="E68" s="363"/>
      <c r="F68" s="364"/>
      <c r="G68" s="363"/>
      <c r="H68" s="367"/>
      <c r="I68" s="342"/>
      <c r="J68" s="344"/>
      <c r="K68" s="352"/>
      <c r="L68" s="352"/>
      <c r="M68" s="370"/>
      <c r="N68" s="401">
        <f>IF(L69=0,0,(H69-H67)/(L69-L67))</f>
        <v>0</v>
      </c>
      <c r="O68" s="401">
        <f>IF(L69-L67&lt;0,0,L69-L67)</f>
        <v>0</v>
      </c>
    </row>
    <row r="69" spans="1:15" ht="13.5" customHeight="1" thickBot="1">
      <c r="A69" s="401">
        <f>IF(C69=0,0,CONCATENATE(B69," ",$D$58))</f>
        <v>0</v>
      </c>
      <c r="B69" s="351">
        <f>B41</f>
        <v>5</v>
      </c>
      <c r="C69" s="394">
        <v>0</v>
      </c>
      <c r="D69" s="397">
        <v>0</v>
      </c>
      <c r="E69" s="362">
        <f>D69*C69</f>
        <v>0</v>
      </c>
      <c r="F69" s="355">
        <f>IF(C69=0,0,$F$61)</f>
        <v>0</v>
      </c>
      <c r="G69" s="362">
        <f>F69*D69</f>
        <v>0</v>
      </c>
      <c r="H69" s="368">
        <f>E69-G69</f>
        <v>0</v>
      </c>
      <c r="I69" s="341">
        <f>IF(C69=0,0,$I$61)</f>
        <v>0</v>
      </c>
      <c r="J69" s="345">
        <f>H69-I69</f>
        <v>0</v>
      </c>
      <c r="K69" s="371">
        <f>C69-F69</f>
        <v>0</v>
      </c>
      <c r="L69" s="372">
        <f>D69/$D$59</f>
        <v>0</v>
      </c>
      <c r="M69" s="369">
        <f>IF(L69=0,0,H69/L69)</f>
        <v>0</v>
      </c>
      <c r="N69" s="403"/>
      <c r="O69" s="402"/>
    </row>
    <row r="70" spans="1:15" ht="13.5" customHeight="1" thickBot="1">
      <c r="A70" s="402"/>
      <c r="B70" s="352"/>
      <c r="C70" s="391"/>
      <c r="D70" s="393"/>
      <c r="E70" s="363"/>
      <c r="F70" s="364"/>
      <c r="G70" s="363"/>
      <c r="H70" s="367"/>
      <c r="I70" s="342"/>
      <c r="J70" s="344"/>
      <c r="K70" s="352"/>
      <c r="L70" s="352"/>
      <c r="M70" s="370"/>
      <c r="N70" s="401">
        <f>IF(L71=0,0,(H71-H69)/(L71-L69))</f>
        <v>0</v>
      </c>
      <c r="O70" s="401">
        <f>IF(L71-L69&lt;0,0,L71-L69)</f>
        <v>0</v>
      </c>
    </row>
    <row r="71" spans="1:15" ht="13.5" customHeight="1" thickBot="1">
      <c r="A71" s="401">
        <f>IF(C71=0,0,CONCATENATE(B71," ",$D$58))</f>
        <v>0</v>
      </c>
      <c r="B71" s="351">
        <f>B43</f>
        <v>6</v>
      </c>
      <c r="C71" s="394">
        <v>0</v>
      </c>
      <c r="D71" s="397">
        <v>0</v>
      </c>
      <c r="E71" s="362">
        <f>D71*C71</f>
        <v>0</v>
      </c>
      <c r="F71" s="355">
        <f>IF(C71=0,0,$F$61)</f>
        <v>0</v>
      </c>
      <c r="G71" s="362">
        <f>F71*D71</f>
        <v>0</v>
      </c>
      <c r="H71" s="368">
        <f>E71-G71</f>
        <v>0</v>
      </c>
      <c r="I71" s="341">
        <f>IF(C71=0,0,$I$61)</f>
        <v>0</v>
      </c>
      <c r="J71" s="345">
        <f>H71-I71</f>
        <v>0</v>
      </c>
      <c r="K71" s="371">
        <f>C71-F71</f>
        <v>0</v>
      </c>
      <c r="L71" s="372">
        <f>D71/$D$59</f>
        <v>0</v>
      </c>
      <c r="M71" s="369">
        <f>IF(L71=0,0,H71/L71)</f>
        <v>0</v>
      </c>
      <c r="N71" s="403"/>
      <c r="O71" s="402"/>
    </row>
    <row r="72" spans="1:15" ht="13.5" customHeight="1" thickBot="1">
      <c r="A72" s="402"/>
      <c r="B72" s="352"/>
      <c r="C72" s="391"/>
      <c r="D72" s="393"/>
      <c r="E72" s="363"/>
      <c r="F72" s="364"/>
      <c r="G72" s="363"/>
      <c r="H72" s="367"/>
      <c r="I72" s="342"/>
      <c r="J72" s="344"/>
      <c r="K72" s="352"/>
      <c r="L72" s="352"/>
      <c r="M72" s="370"/>
      <c r="N72" s="401">
        <f>IF(L73=0,0,(H73-H71)/(L73-L71))</f>
        <v>0</v>
      </c>
      <c r="O72" s="401">
        <f>IF(L73-L71&lt;0,0,L73-L71)</f>
        <v>0</v>
      </c>
    </row>
    <row r="73" spans="1:15" ht="13.5" customHeight="1" thickBot="1">
      <c r="A73" s="401">
        <f>IF(C73=0,0,CONCATENATE(B73," ",$D$58))</f>
        <v>0</v>
      </c>
      <c r="B73" s="351">
        <f>B45</f>
        <v>7</v>
      </c>
      <c r="C73" s="394">
        <v>0</v>
      </c>
      <c r="D73" s="397">
        <v>0</v>
      </c>
      <c r="E73" s="362">
        <f>D73*C73</f>
        <v>0</v>
      </c>
      <c r="F73" s="355">
        <f>IF(C73=0,0,$F$61)</f>
        <v>0</v>
      </c>
      <c r="G73" s="362">
        <f>F73*D73</f>
        <v>0</v>
      </c>
      <c r="H73" s="368">
        <f>E73-G73</f>
        <v>0</v>
      </c>
      <c r="I73" s="341">
        <f>IF(C73=0,0,$I$61)</f>
        <v>0</v>
      </c>
      <c r="J73" s="345">
        <f>H73-I73</f>
        <v>0</v>
      </c>
      <c r="K73" s="371">
        <f>C73-F73</f>
        <v>0</v>
      </c>
      <c r="L73" s="372">
        <f>D73/$D$59</f>
        <v>0</v>
      </c>
      <c r="M73" s="369">
        <f>IF(L73=0,0,H73/L73)</f>
        <v>0</v>
      </c>
      <c r="N73" s="403"/>
      <c r="O73" s="402"/>
    </row>
    <row r="74" spans="1:15" ht="13.5" customHeight="1" thickBot="1">
      <c r="A74" s="402"/>
      <c r="B74" s="352"/>
      <c r="C74" s="398"/>
      <c r="D74" s="399"/>
      <c r="E74" s="337"/>
      <c r="F74" s="364"/>
      <c r="G74" s="337"/>
      <c r="H74" s="339"/>
      <c r="I74" s="342"/>
      <c r="J74" s="338"/>
      <c r="K74" s="352"/>
      <c r="L74" s="352"/>
      <c r="M74" s="370"/>
      <c r="N74" s="401">
        <f>IF(L75=0,0,(H75-H73)/(L75-L73))</f>
        <v>0</v>
      </c>
      <c r="O74" s="401">
        <f>IF(L75-L73&lt;0,0,L75-L73)</f>
        <v>0</v>
      </c>
    </row>
    <row r="75" spans="1:15" ht="13.5" customHeight="1" thickBot="1">
      <c r="A75" s="401">
        <f>IF(C75=0,0,CONCATENATE(B75," ",$D$58))</f>
        <v>0</v>
      </c>
      <c r="B75" s="351">
        <f>B47</f>
        <v>8</v>
      </c>
      <c r="C75" s="394">
        <v>0</v>
      </c>
      <c r="D75" s="397">
        <v>0</v>
      </c>
      <c r="E75" s="362">
        <f>D75*C75</f>
        <v>0</v>
      </c>
      <c r="F75" s="355">
        <f>IF(C75=0,0,$F$61)</f>
        <v>0</v>
      </c>
      <c r="G75" s="362">
        <f>F75*D75</f>
        <v>0</v>
      </c>
      <c r="H75" s="368">
        <f>E75-G75</f>
        <v>0</v>
      </c>
      <c r="I75" s="341">
        <f>IF(C75=0,0,$I$61)</f>
        <v>0</v>
      </c>
      <c r="J75" s="345">
        <f>H75-I75</f>
        <v>0</v>
      </c>
      <c r="K75" s="377">
        <f>C75-F75</f>
        <v>0</v>
      </c>
      <c r="L75" s="372">
        <f>D75/$D$59</f>
        <v>0</v>
      </c>
      <c r="M75" s="369">
        <f>IF(L75=0,0,H75/L75)</f>
        <v>0</v>
      </c>
      <c r="N75" s="403"/>
      <c r="O75" s="402"/>
    </row>
    <row r="76" spans="1:14" ht="13.5" customHeight="1" thickBot="1">
      <c r="A76" s="402"/>
      <c r="B76" s="352"/>
      <c r="C76" s="398"/>
      <c r="D76" s="399"/>
      <c r="E76" s="337"/>
      <c r="F76" s="356"/>
      <c r="G76" s="337"/>
      <c r="H76" s="339"/>
      <c r="I76" s="378"/>
      <c r="J76" s="338"/>
      <c r="K76" s="352"/>
      <c r="L76" s="352"/>
      <c r="M76" s="370"/>
      <c r="N76" s="379"/>
    </row>
    <row r="77" spans="3:14" ht="12.75" hidden="1">
      <c r="C77" s="373"/>
      <c r="D77" s="374"/>
      <c r="E77" s="374"/>
      <c r="F77" s="373"/>
      <c r="G77" s="374"/>
      <c r="H77" s="374"/>
      <c r="I77" s="374"/>
      <c r="J77" s="374"/>
      <c r="K77" s="375"/>
      <c r="L77" s="379"/>
      <c r="M77" s="379"/>
      <c r="N77" s="376"/>
    </row>
    <row r="78" spans="3:14" ht="12.75" hidden="1">
      <c r="C78" s="373"/>
      <c r="D78" s="374"/>
      <c r="E78" s="374"/>
      <c r="F78" s="373"/>
      <c r="G78" s="374"/>
      <c r="H78" s="374"/>
      <c r="I78" s="374"/>
      <c r="J78" s="374"/>
      <c r="K78" s="376"/>
      <c r="L78" s="376"/>
      <c r="M78" s="379"/>
      <c r="N78" s="379"/>
    </row>
    <row r="79" spans="3:14" ht="12.75" hidden="1">
      <c r="C79" s="373"/>
      <c r="D79" s="374"/>
      <c r="E79" s="374"/>
      <c r="F79" s="373"/>
      <c r="G79" s="374"/>
      <c r="H79" s="374"/>
      <c r="I79" s="374"/>
      <c r="J79" s="374"/>
      <c r="K79" s="375"/>
      <c r="L79" s="379"/>
      <c r="M79" s="379"/>
      <c r="N79" s="376"/>
    </row>
    <row r="80" spans="3:13" ht="12.75" hidden="1">
      <c r="C80" s="373"/>
      <c r="D80" s="374"/>
      <c r="E80" s="374"/>
      <c r="F80" s="373"/>
      <c r="G80" s="374"/>
      <c r="H80" s="374"/>
      <c r="I80" s="374"/>
      <c r="J80" s="374"/>
      <c r="K80" s="376"/>
      <c r="L80" s="376"/>
      <c r="M80" s="379"/>
    </row>
    <row r="81" spans="3:10" ht="21">
      <c r="C81" t="s">
        <v>9</v>
      </c>
      <c r="D81" s="1">
        <f>MAX(J61:J80)</f>
        <v>11000000</v>
      </c>
      <c r="E81" t="s">
        <v>8</v>
      </c>
      <c r="F81" s="13"/>
      <c r="G81" s="12"/>
      <c r="H81" s="13"/>
      <c r="I81" s="13"/>
      <c r="J81" s="66"/>
    </row>
    <row r="82" spans="3:10" ht="21">
      <c r="C82" s="11" t="s">
        <v>14</v>
      </c>
      <c r="D82" s="12">
        <f>IF(D81=J61,C61,IF(D81=J63,C63,IF(D81=J65,C65,IF(D81=J67,C67,IF(D81=J69,C69,IF(D81=J71,C71,IF(D81=J73,C73,IF(D81=J75,C75,"ingen"))))))))</f>
        <v>5</v>
      </c>
      <c r="E82" s="12"/>
      <c r="F82" s="13"/>
      <c r="G82" s="12"/>
      <c r="H82" s="13"/>
      <c r="I82" s="13"/>
      <c r="J82" s="66"/>
    </row>
    <row r="83" spans="3:10" ht="21">
      <c r="C83" s="11" t="s">
        <v>15</v>
      </c>
      <c r="D83" s="12">
        <f>IF(D81=J61,D61,IF(D81=J63,D63,IF(D81=J65,D65,IF(D81=J67,D67,IF(D81=J69,D69,IF(D81=J71,D71,IF(D81=J73,D73,IF(D81=J75,D75,"ingen"))))))))</f>
        <v>4000000</v>
      </c>
      <c r="E83" s="12"/>
      <c r="F83" s="13"/>
      <c r="G83" s="12"/>
      <c r="H83" s="13"/>
      <c r="I83" s="13"/>
      <c r="J83" s="66"/>
    </row>
    <row r="84" spans="6:10" ht="21">
      <c r="F84" s="13"/>
      <c r="G84" s="12"/>
      <c r="H84" s="13"/>
      <c r="I84" s="13"/>
      <c r="J84" s="66"/>
    </row>
    <row r="85" spans="3:14" ht="18">
      <c r="C85" s="347" t="s">
        <v>17</v>
      </c>
      <c r="D85" s="347"/>
      <c r="E85" s="347"/>
      <c r="F85" s="347"/>
      <c r="G85" s="347"/>
      <c r="H85" s="347"/>
      <c r="I85" s="43"/>
      <c r="J85" s="43"/>
      <c r="K85" s="43"/>
      <c r="L85" s="43"/>
      <c r="M85" s="43"/>
      <c r="N85" s="43"/>
    </row>
    <row r="86" spans="3:14" ht="21">
      <c r="C86" s="11" t="s">
        <v>18</v>
      </c>
      <c r="D86" s="18">
        <f>2000000*1.3</f>
        <v>2600000</v>
      </c>
      <c r="E86" s="12" t="s">
        <v>53</v>
      </c>
      <c r="F86" s="19"/>
      <c r="G86" s="19"/>
      <c r="H86" s="19"/>
      <c r="I86" s="43"/>
      <c r="J86" s="43"/>
      <c r="K86" s="43"/>
      <c r="L86" s="43"/>
      <c r="M86" s="43"/>
      <c r="N86" s="19"/>
    </row>
    <row r="87" spans="3:14" ht="54">
      <c r="C87" s="19" t="s">
        <v>32</v>
      </c>
      <c r="D87" s="19" t="s">
        <v>33</v>
      </c>
      <c r="E87" s="19" t="s">
        <v>31</v>
      </c>
      <c r="F87" s="39" t="s">
        <v>36</v>
      </c>
      <c r="G87" s="39" t="s">
        <v>37</v>
      </c>
      <c r="H87" s="19" t="s">
        <v>38</v>
      </c>
      <c r="I87" s="43"/>
      <c r="J87" s="43"/>
      <c r="K87" s="43"/>
      <c r="L87" s="43"/>
      <c r="M87" s="43"/>
      <c r="N87" s="19"/>
    </row>
    <row r="88" spans="3:13" ht="12.75" customHeight="1">
      <c r="C88" s="348" t="s">
        <v>19</v>
      </c>
      <c r="D88" s="400">
        <f>'løsningstabel (1.3)'!F2</f>
        <v>22</v>
      </c>
      <c r="E88" s="348" t="str">
        <f>'løsningstabel (1.3)'!G2</f>
        <v>1 Ekstra</v>
      </c>
      <c r="F88" s="348">
        <f>'løsningstabel (1.3)'!H2</f>
        <v>150000</v>
      </c>
      <c r="G88" s="348">
        <f>F88</f>
        <v>150000</v>
      </c>
      <c r="H88" s="348" t="str">
        <f>IF(G88&lt;=$D$86,"Ja","Nej")</f>
        <v>Ja</v>
      </c>
      <c r="I88" s="43"/>
      <c r="J88" s="43"/>
      <c r="K88" s="43"/>
      <c r="L88" s="43"/>
      <c r="M88" s="43"/>
    </row>
    <row r="89" spans="3:13" ht="12.75" customHeight="1">
      <c r="C89" s="348"/>
      <c r="D89" s="400"/>
      <c r="E89" s="348"/>
      <c r="F89" s="348"/>
      <c r="G89" s="348"/>
      <c r="H89" s="348"/>
      <c r="I89" s="43"/>
      <c r="J89" s="43"/>
      <c r="K89" s="43"/>
      <c r="L89" s="43"/>
      <c r="M89" s="43"/>
    </row>
    <row r="90" spans="3:13" ht="12.75" customHeight="1">
      <c r="C90" s="348" t="s">
        <v>20</v>
      </c>
      <c r="D90" s="400">
        <f>'løsningstabel (1.3)'!F3</f>
        <v>18</v>
      </c>
      <c r="E90" s="348" t="str">
        <f>'løsningstabel (1.3)'!G3</f>
        <v>1 Top</v>
      </c>
      <c r="F90" s="348">
        <f>'løsningstabel (1.3)'!H3</f>
        <v>750000</v>
      </c>
      <c r="G90" s="348">
        <f>G88+F90</f>
        <v>900000</v>
      </c>
      <c r="H90" s="348" t="str">
        <f>IF(G90&lt;=$D$86,"Ja","Nej")</f>
        <v>Ja</v>
      </c>
      <c r="I90" s="43"/>
      <c r="J90" s="43"/>
      <c r="K90" s="43"/>
      <c r="L90" s="43"/>
      <c r="M90" s="43"/>
    </row>
    <row r="91" spans="3:13" ht="12.75" customHeight="1">
      <c r="C91" s="348"/>
      <c r="D91" s="400"/>
      <c r="E91" s="348"/>
      <c r="F91" s="348"/>
      <c r="G91" s="348"/>
      <c r="H91" s="348"/>
      <c r="I91" s="43"/>
      <c r="J91" s="43"/>
      <c r="K91" s="43"/>
      <c r="L91" s="43"/>
      <c r="M91" s="43"/>
    </row>
    <row r="92" spans="3:13" ht="12.75" customHeight="1">
      <c r="C92" s="348" t="s">
        <v>21</v>
      </c>
      <c r="D92" s="400">
        <f>'løsningstabel (1.3)'!F4</f>
        <v>13.5</v>
      </c>
      <c r="E92" s="348" t="str">
        <f>'løsningstabel (1.3)'!G4</f>
        <v>2 Ekstra</v>
      </c>
      <c r="F92" s="348">
        <f>'løsningstabel (1.3)'!H4</f>
        <v>20000</v>
      </c>
      <c r="G92" s="348">
        <f>G90+F92</f>
        <v>920000</v>
      </c>
      <c r="H92" s="348" t="str">
        <f>IF(G92&lt;=$D$86,"Ja","Nej")</f>
        <v>Ja</v>
      </c>
      <c r="I92" s="43"/>
      <c r="J92" s="43"/>
      <c r="K92" s="43"/>
      <c r="L92" s="43"/>
      <c r="M92" s="43"/>
    </row>
    <row r="93" spans="3:13" ht="12.75" customHeight="1">
      <c r="C93" s="348"/>
      <c r="D93" s="400"/>
      <c r="E93" s="348"/>
      <c r="F93" s="348"/>
      <c r="G93" s="348"/>
      <c r="H93" s="348"/>
      <c r="I93" s="43"/>
      <c r="J93" s="43"/>
      <c r="K93" s="43"/>
      <c r="L93" s="43"/>
      <c r="M93" s="43"/>
    </row>
    <row r="94" spans="3:13" ht="12.75" customHeight="1">
      <c r="C94" s="348" t="s">
        <v>22</v>
      </c>
      <c r="D94" s="400">
        <f>'løsningstabel (1.3)'!F5</f>
        <v>13.2</v>
      </c>
      <c r="E94" s="348" t="str">
        <f>'løsningstabel (1.3)'!G5</f>
        <v>3 Ekstra</v>
      </c>
      <c r="F94" s="348">
        <f>'løsningstabel (1.3)'!H5</f>
        <v>25000</v>
      </c>
      <c r="G94" s="348">
        <f>G92+F94</f>
        <v>945000</v>
      </c>
      <c r="H94" s="348" t="str">
        <f>IF(G94&lt;=$D$86,"Ja","Nej")</f>
        <v>Ja</v>
      </c>
      <c r="I94" s="43"/>
      <c r="J94" s="43"/>
      <c r="K94" s="43"/>
      <c r="L94" s="43"/>
      <c r="M94" s="43"/>
    </row>
    <row r="95" spans="3:13" ht="12.75" customHeight="1">
      <c r="C95" s="348"/>
      <c r="D95" s="400"/>
      <c r="E95" s="348"/>
      <c r="F95" s="348"/>
      <c r="G95" s="348"/>
      <c r="H95" s="348"/>
      <c r="I95" s="43"/>
      <c r="J95" s="43"/>
      <c r="K95" s="43"/>
      <c r="L95" s="43"/>
      <c r="M95" s="43"/>
    </row>
    <row r="96" spans="3:13" ht="12.75" customHeight="1">
      <c r="C96" s="348" t="s">
        <v>23</v>
      </c>
      <c r="D96" s="400">
        <f>'løsningstabel (1.3)'!F6</f>
        <v>11</v>
      </c>
      <c r="E96" s="348" t="str">
        <f>'løsningstabel (1.3)'!G6</f>
        <v>2 Top</v>
      </c>
      <c r="F96" s="348">
        <f>'løsningstabel (1.3)'!H6</f>
        <v>125000</v>
      </c>
      <c r="G96" s="348">
        <f>G94+F96</f>
        <v>1070000</v>
      </c>
      <c r="H96" s="348" t="str">
        <f>IF(G96&lt;=$D$86,"Ja","Nej")</f>
        <v>Ja</v>
      </c>
      <c r="I96" s="43"/>
      <c r="J96" s="43"/>
      <c r="K96" s="43"/>
      <c r="L96" s="43"/>
      <c r="M96" s="43"/>
    </row>
    <row r="97" spans="3:13" ht="12.75" customHeight="1">
      <c r="C97" s="348"/>
      <c r="D97" s="400"/>
      <c r="E97" s="348"/>
      <c r="F97" s="348"/>
      <c r="G97" s="348"/>
      <c r="H97" s="348"/>
      <c r="I97" s="43"/>
      <c r="J97" s="43"/>
      <c r="K97" s="43"/>
      <c r="L97" s="43"/>
      <c r="M97" s="43"/>
    </row>
    <row r="98" spans="3:13" ht="12.75" customHeight="1">
      <c r="C98" s="348" t="s">
        <v>24</v>
      </c>
      <c r="D98" s="400">
        <f>'løsningstabel (1.3)'!F7</f>
        <v>11</v>
      </c>
      <c r="E98" s="348" t="str">
        <f>'løsningstabel (1.3)'!G7</f>
        <v>1 Top export</v>
      </c>
      <c r="F98" s="348">
        <f>'løsningstabel (1.3)'!H7</f>
        <v>1000000</v>
      </c>
      <c r="G98" s="348">
        <f>G96+F98</f>
        <v>2070000</v>
      </c>
      <c r="H98" s="348" t="str">
        <f>IF(G98&lt;=$D$86,"Ja","Nej")</f>
        <v>Ja</v>
      </c>
      <c r="I98" s="43"/>
      <c r="J98" s="43"/>
      <c r="K98" s="43"/>
      <c r="L98" s="43"/>
      <c r="M98" s="43"/>
    </row>
    <row r="99" spans="3:13" ht="12.75" customHeight="1">
      <c r="C99" s="348"/>
      <c r="D99" s="400"/>
      <c r="E99" s="348"/>
      <c r="F99" s="348"/>
      <c r="G99" s="348"/>
      <c r="H99" s="348"/>
      <c r="I99" s="43"/>
      <c r="J99" s="43"/>
      <c r="K99" s="43"/>
      <c r="L99" s="43"/>
      <c r="M99" s="43"/>
    </row>
    <row r="100" spans="3:13" ht="12.75" customHeight="1">
      <c r="C100" s="348" t="s">
        <v>25</v>
      </c>
      <c r="D100" s="400">
        <f>'løsningstabel (1.3)'!F8</f>
        <v>9</v>
      </c>
      <c r="E100" s="348" t="str">
        <f>'løsningstabel (1.3)'!G8</f>
        <v>3 Top</v>
      </c>
      <c r="F100" s="348">
        <f>'løsningstabel (1.3)'!H8</f>
        <v>125000</v>
      </c>
      <c r="G100" s="348">
        <f>G98+F100</f>
        <v>2195000</v>
      </c>
      <c r="H100" s="348" t="str">
        <f>IF(G100&lt;=$D$86,"Ja","Nej")</f>
        <v>Ja</v>
      </c>
      <c r="I100" s="43"/>
      <c r="J100" s="43"/>
      <c r="K100" s="43"/>
      <c r="L100" s="43"/>
      <c r="M100" s="43"/>
    </row>
    <row r="101" spans="3:13" ht="12.75" customHeight="1">
      <c r="C101" s="348"/>
      <c r="D101" s="400"/>
      <c r="E101" s="348"/>
      <c r="F101" s="348"/>
      <c r="G101" s="348"/>
      <c r="H101" s="348"/>
      <c r="I101" s="43"/>
      <c r="J101" s="43"/>
      <c r="K101" s="43"/>
      <c r="L101" s="43"/>
      <c r="M101" s="43"/>
    </row>
    <row r="102" spans="3:13" ht="12.75" customHeight="1">
      <c r="C102" s="348" t="s">
        <v>26</v>
      </c>
      <c r="D102" s="400">
        <f>'løsningstabel (1.3)'!F9</f>
        <v>7</v>
      </c>
      <c r="E102" s="348" t="str">
        <f>'løsningstabel (1.3)'!G9</f>
        <v>4 Top</v>
      </c>
      <c r="F102" s="348">
        <f>'løsningstabel (1.3)'!H9</f>
        <v>125000</v>
      </c>
      <c r="G102" s="348">
        <f>G100+F102</f>
        <v>2320000</v>
      </c>
      <c r="H102" s="348" t="str">
        <f>IF(G102&lt;=$D$86,"Ja","Nej")</f>
        <v>Ja</v>
      </c>
      <c r="I102" s="43"/>
      <c r="J102" s="43"/>
      <c r="K102" s="43"/>
      <c r="L102" s="43"/>
      <c r="M102" s="43"/>
    </row>
    <row r="103" spans="3:13" ht="12.75" customHeight="1">
      <c r="C103" s="348"/>
      <c r="D103" s="400"/>
      <c r="E103" s="348"/>
      <c r="F103" s="348"/>
      <c r="G103" s="348"/>
      <c r="H103" s="348"/>
      <c r="I103" s="43"/>
      <c r="J103" s="43"/>
      <c r="K103" s="43"/>
      <c r="L103" s="43"/>
      <c r="M103" s="43"/>
    </row>
    <row r="104" spans="3:13" ht="12.75" customHeight="1">
      <c r="C104" s="348" t="s">
        <v>27</v>
      </c>
      <c r="D104" s="400">
        <f>'løsningstabel (1.3)'!F10</f>
        <v>6.142857142857143</v>
      </c>
      <c r="E104" s="348" t="str">
        <f>'løsningstabel (1.3)'!G10</f>
        <v>5 Ekstra</v>
      </c>
      <c r="F104" s="348">
        <f>'løsningstabel (1.3)'!H10</f>
        <v>17500</v>
      </c>
      <c r="G104" s="348">
        <f>G102+F104</f>
        <v>2337500</v>
      </c>
      <c r="H104" s="348" t="str">
        <f>IF(G104&lt;=$D$86,"Ja","Nej")</f>
        <v>Ja</v>
      </c>
      <c r="I104" s="43"/>
      <c r="J104" s="43"/>
      <c r="K104" s="43"/>
      <c r="L104" s="43"/>
      <c r="M104" s="43"/>
    </row>
    <row r="105" spans="3:13" ht="12.75" customHeight="1">
      <c r="C105" s="348"/>
      <c r="D105" s="400"/>
      <c r="E105" s="348"/>
      <c r="F105" s="348"/>
      <c r="G105" s="348"/>
      <c r="H105" s="348"/>
      <c r="I105" s="43"/>
      <c r="J105" s="43"/>
      <c r="K105" s="43"/>
      <c r="L105" s="43"/>
      <c r="M105" s="43"/>
    </row>
    <row r="106" spans="3:13" ht="12.75" customHeight="1">
      <c r="C106" s="348" t="s">
        <v>28</v>
      </c>
      <c r="D106" s="400">
        <f>'løsningstabel (1.3)'!F11</f>
        <v>3.4</v>
      </c>
      <c r="E106" s="348" t="str">
        <f>'løsningstabel (1.3)'!G11</f>
        <v>4 Ekstra</v>
      </c>
      <c r="F106" s="348">
        <f>'løsningstabel (1.3)'!H11</f>
        <v>12500</v>
      </c>
      <c r="G106" s="348">
        <f>G104+F106</f>
        <v>2350000</v>
      </c>
      <c r="H106" s="348" t="str">
        <f>IF(G106&lt;=$D$86,"Ja","Nej")</f>
        <v>Ja</v>
      </c>
      <c r="I106" s="43"/>
      <c r="J106" s="43"/>
      <c r="K106" s="43"/>
      <c r="L106" s="43"/>
      <c r="M106" s="43"/>
    </row>
    <row r="107" spans="3:13" ht="12.75" customHeight="1">
      <c r="C107" s="348"/>
      <c r="D107" s="400"/>
      <c r="E107" s="348"/>
      <c r="F107" s="348"/>
      <c r="G107" s="348"/>
      <c r="H107" s="348"/>
      <c r="I107" s="43"/>
      <c r="J107" s="43"/>
      <c r="K107" s="43"/>
      <c r="L107" s="43"/>
      <c r="M107" s="43"/>
    </row>
    <row r="108" spans="3:13" ht="12.75" customHeight="1">
      <c r="C108" s="348" t="s">
        <v>29</v>
      </c>
      <c r="D108" s="400">
        <f>'løsningstabel (1.3)'!F12</f>
        <v>0</v>
      </c>
      <c r="E108" s="348" t="str">
        <f>'løsningstabel (1.3)'!G12</f>
        <v>4 Top export</v>
      </c>
      <c r="F108" s="348" t="str">
        <f>'løsningstabel (1.3)'!H12</f>
        <v>-</v>
      </c>
      <c r="G108" s="348" t="e">
        <f>G106+F108</f>
        <v>#VALUE!</v>
      </c>
      <c r="H108" s="348" t="e">
        <f>IF(G108&lt;=$D$86,"Ja","Nej")</f>
        <v>#VALUE!</v>
      </c>
      <c r="I108" s="43"/>
      <c r="J108" s="43"/>
      <c r="K108" s="43"/>
      <c r="L108" s="43"/>
      <c r="M108" s="43"/>
    </row>
    <row r="109" spans="3:13" ht="12.75" customHeight="1">
      <c r="C109" s="348"/>
      <c r="D109" s="400"/>
      <c r="E109" s="348"/>
      <c r="F109" s="348"/>
      <c r="G109" s="348"/>
      <c r="H109" s="348"/>
      <c r="I109" s="43"/>
      <c r="J109" s="43"/>
      <c r="K109" s="43"/>
      <c r="L109" s="43"/>
      <c r="M109" s="43"/>
    </row>
    <row r="110" spans="3:13" ht="12.75" customHeight="1">
      <c r="C110" s="348" t="s">
        <v>30</v>
      </c>
      <c r="D110" s="400">
        <f>'løsningstabel (1.3)'!F13</f>
        <v>0</v>
      </c>
      <c r="E110" s="348" t="str">
        <f>'løsningstabel (1.3)'!G13</f>
        <v>4 Top export</v>
      </c>
      <c r="F110" s="348" t="str">
        <f>'løsningstabel (1.3)'!H13</f>
        <v>-</v>
      </c>
      <c r="G110" s="348" t="e">
        <f>G108+F110</f>
        <v>#VALUE!</v>
      </c>
      <c r="H110" s="348" t="e">
        <f>IF(G110&lt;=$D$86,"Ja","Nej")</f>
        <v>#VALUE!</v>
      </c>
      <c r="I110" s="43"/>
      <c r="J110" s="43"/>
      <c r="K110" s="43"/>
      <c r="L110" s="43"/>
      <c r="M110" s="43"/>
    </row>
    <row r="111" spans="3:13" ht="12.75" customHeight="1">
      <c r="C111" s="348"/>
      <c r="D111" s="400"/>
      <c r="E111" s="348"/>
      <c r="F111" s="348"/>
      <c r="G111" s="348"/>
      <c r="H111" s="348"/>
      <c r="I111" s="43"/>
      <c r="J111" s="43"/>
      <c r="K111" s="43"/>
      <c r="L111" s="43"/>
      <c r="M111" s="43"/>
    </row>
    <row r="112" spans="1:13" ht="12.75" customHeight="1">
      <c r="A112" t="s">
        <v>75</v>
      </c>
      <c r="C112" s="20"/>
      <c r="D112" s="44"/>
      <c r="E112" s="20"/>
      <c r="F112" s="20"/>
      <c r="G112" s="20"/>
      <c r="H112" s="20"/>
      <c r="I112" s="43"/>
      <c r="J112" s="43"/>
      <c r="K112" s="43"/>
      <c r="L112" s="43"/>
      <c r="M112" s="43"/>
    </row>
    <row r="113" spans="1:13" ht="18">
      <c r="A113" s="347" t="s">
        <v>40</v>
      </c>
      <c r="B113" s="347"/>
      <c r="C113" s="347"/>
      <c r="D113" s="347"/>
      <c r="E113" s="347"/>
      <c r="F113" s="347"/>
      <c r="G113" s="347"/>
      <c r="H113" s="347"/>
      <c r="I113" s="43"/>
      <c r="J113" s="43"/>
      <c r="K113" s="43"/>
      <c r="L113" s="43"/>
      <c r="M113" s="43"/>
    </row>
    <row r="114" spans="1:13" ht="12.75" customHeight="1">
      <c r="A114" s="348" t="s">
        <v>44</v>
      </c>
      <c r="B114" s="348"/>
      <c r="C114" s="20" t="s">
        <v>0</v>
      </c>
      <c r="D114" s="20" t="s">
        <v>1</v>
      </c>
      <c r="E114" s="20" t="s">
        <v>2</v>
      </c>
      <c r="F114" s="20" t="s">
        <v>7</v>
      </c>
      <c r="G114" s="20" t="s">
        <v>3</v>
      </c>
      <c r="H114" s="20" t="s">
        <v>4</v>
      </c>
      <c r="I114" s="55" t="s">
        <v>45</v>
      </c>
      <c r="J114" s="55" t="s">
        <v>6</v>
      </c>
      <c r="K114" s="55" t="str">
        <f>K4</f>
        <v>DB pr stk.</v>
      </c>
      <c r="L114" s="55" t="str">
        <f>L4</f>
        <v>Antal liter</v>
      </c>
      <c r="M114" s="55" t="str">
        <f>M4</f>
        <v>DB pr liter</v>
      </c>
    </row>
    <row r="115" spans="1:13" ht="12.75" customHeight="1">
      <c r="A115" s="404" t="str">
        <f>A11</f>
        <v>4 Top</v>
      </c>
      <c r="B115" s="348"/>
      <c r="C115" s="67">
        <f>C11</f>
        <v>5.75</v>
      </c>
      <c r="D115" s="67">
        <f aca="true" t="shared" si="0" ref="D115:M115">D11</f>
        <v>4500000</v>
      </c>
      <c r="E115" s="67">
        <f t="shared" si="0"/>
        <v>25875000</v>
      </c>
      <c r="F115" s="67">
        <f t="shared" si="0"/>
        <v>2</v>
      </c>
      <c r="G115" s="67">
        <f t="shared" si="0"/>
        <v>9000000</v>
      </c>
      <c r="H115" s="67">
        <f t="shared" si="0"/>
        <v>16875000</v>
      </c>
      <c r="I115" s="67">
        <f t="shared" si="0"/>
        <v>0</v>
      </c>
      <c r="J115" s="67">
        <f t="shared" si="0"/>
        <v>16875000</v>
      </c>
      <c r="K115" s="67">
        <f t="shared" si="0"/>
        <v>3.75</v>
      </c>
      <c r="L115" s="67">
        <f t="shared" si="0"/>
        <v>1125000</v>
      </c>
      <c r="M115" s="67">
        <f t="shared" si="0"/>
        <v>15</v>
      </c>
    </row>
    <row r="116" spans="1:13" ht="12.75" customHeight="1">
      <c r="A116" s="348" t="str">
        <f>D30</f>
        <v>Ekstra</v>
      </c>
      <c r="B116" s="348"/>
      <c r="C116" s="67">
        <f>C41</f>
        <v>7</v>
      </c>
      <c r="D116" s="67">
        <f aca="true" t="shared" si="1" ref="D116:M116">D41</f>
        <v>900000</v>
      </c>
      <c r="E116" s="67">
        <f t="shared" si="1"/>
        <v>6300000</v>
      </c>
      <c r="F116" s="67">
        <f t="shared" si="1"/>
        <v>2.5</v>
      </c>
      <c r="G116" s="67">
        <f t="shared" si="1"/>
        <v>2250000</v>
      </c>
      <c r="H116" s="67">
        <f t="shared" si="1"/>
        <v>4050000</v>
      </c>
      <c r="I116" s="67">
        <f t="shared" si="1"/>
        <v>0</v>
      </c>
      <c r="J116" s="67">
        <f t="shared" si="1"/>
        <v>4050000</v>
      </c>
      <c r="K116" s="67">
        <f t="shared" si="1"/>
        <v>4.5</v>
      </c>
      <c r="L116" s="67">
        <f t="shared" si="1"/>
        <v>225000</v>
      </c>
      <c r="M116" s="67">
        <f t="shared" si="1"/>
        <v>18</v>
      </c>
    </row>
    <row r="117" spans="1:13" ht="12.75" customHeight="1">
      <c r="A117" s="348" t="str">
        <f>D58</f>
        <v>Top export</v>
      </c>
      <c r="B117" s="348"/>
      <c r="C117" s="67">
        <f aca="true" t="shared" si="2" ref="C117:M117">C61</f>
        <v>5</v>
      </c>
      <c r="D117" s="67">
        <f t="shared" si="2"/>
        <v>4000000</v>
      </c>
      <c r="E117" s="67">
        <f t="shared" si="2"/>
        <v>20000000</v>
      </c>
      <c r="F117" s="67">
        <f t="shared" si="2"/>
        <v>2.25</v>
      </c>
      <c r="G117" s="67">
        <f t="shared" si="2"/>
        <v>9000000</v>
      </c>
      <c r="H117" s="67">
        <f t="shared" si="2"/>
        <v>11000000</v>
      </c>
      <c r="I117" s="67">
        <f t="shared" si="2"/>
        <v>0</v>
      </c>
      <c r="J117" s="67">
        <f t="shared" si="2"/>
        <v>11000000</v>
      </c>
      <c r="K117" s="67">
        <f t="shared" si="2"/>
        <v>2.75</v>
      </c>
      <c r="L117" s="67">
        <f t="shared" si="2"/>
        <v>1000000</v>
      </c>
      <c r="M117" s="67">
        <f t="shared" si="2"/>
        <v>11</v>
      </c>
    </row>
    <row r="118" spans="1:13" ht="12.75" customHeight="1" thickBot="1">
      <c r="A118" t="s">
        <v>78</v>
      </c>
      <c r="C118" s="68"/>
      <c r="D118" s="68"/>
      <c r="E118" s="68"/>
      <c r="F118" s="68"/>
      <c r="G118" s="68">
        <f>SUM(G115:G117)</f>
        <v>20250000</v>
      </c>
      <c r="H118" s="88">
        <f>SUM(H115:H117)</f>
        <v>31925000</v>
      </c>
      <c r="I118" s="68">
        <f>SUM(I115:I117)</f>
        <v>0</v>
      </c>
      <c r="J118" s="68">
        <f>SUM(J115:J117)</f>
        <v>31925000</v>
      </c>
      <c r="K118" s="43"/>
      <c r="L118" s="63">
        <f>SUM(L115:L117)</f>
        <v>2350000</v>
      </c>
      <c r="M118" s="43"/>
    </row>
    <row r="119" spans="1:13" ht="12.75" customHeight="1" thickTop="1">
      <c r="A119" t="s">
        <v>76</v>
      </c>
      <c r="C119" s="20"/>
      <c r="D119" s="20"/>
      <c r="E119" s="20"/>
      <c r="F119" s="20"/>
      <c r="G119" s="20"/>
      <c r="H119" s="56">
        <f>Prisoptimering!H137</f>
        <v>29727000</v>
      </c>
      <c r="I119" s="43"/>
      <c r="J119" s="43"/>
      <c r="K119" s="43"/>
      <c r="L119" s="43"/>
      <c r="M119" s="43"/>
    </row>
    <row r="120" spans="1:13" ht="12.75" customHeight="1">
      <c r="A120" s="30" t="s">
        <v>77</v>
      </c>
      <c r="B120" s="30"/>
      <c r="C120" s="89"/>
      <c r="D120" s="89"/>
      <c r="E120" s="89"/>
      <c r="F120" s="89"/>
      <c r="G120" s="89"/>
      <c r="H120" s="94">
        <f>H118-H119</f>
        <v>2198000</v>
      </c>
      <c r="I120" s="90"/>
      <c r="J120" s="90"/>
      <c r="K120" s="90"/>
      <c r="L120" s="90"/>
      <c r="M120" s="90"/>
    </row>
    <row r="121" spans="1:13" ht="12.75" customHeight="1">
      <c r="A121" s="30"/>
      <c r="B121" s="30"/>
      <c r="C121" s="89"/>
      <c r="D121" s="89"/>
      <c r="E121" s="91"/>
      <c r="F121" s="89"/>
      <c r="G121" s="89"/>
      <c r="H121" s="89"/>
      <c r="I121" s="90"/>
      <c r="J121" s="90"/>
      <c r="K121" s="90"/>
      <c r="L121" s="90"/>
      <c r="M121" s="90"/>
    </row>
    <row r="122" spans="1:13" ht="12.75" customHeight="1">
      <c r="A122" s="99" t="s">
        <v>79</v>
      </c>
      <c r="B122" s="30"/>
      <c r="C122" s="89"/>
      <c r="D122" s="89"/>
      <c r="E122" s="91"/>
      <c r="F122" s="89"/>
      <c r="G122" s="89"/>
      <c r="H122" s="89"/>
      <c r="I122" s="90"/>
      <c r="J122" s="90"/>
      <c r="K122" s="90"/>
      <c r="L122" s="90"/>
      <c r="M122" s="90"/>
    </row>
    <row r="123" spans="1:13" ht="12.75" customHeight="1">
      <c r="A123" s="99" t="s">
        <v>83</v>
      </c>
      <c r="B123" s="30"/>
      <c r="C123" s="89"/>
      <c r="D123" s="89"/>
      <c r="E123" s="91"/>
      <c r="F123" s="89"/>
      <c r="G123" s="89"/>
      <c r="H123" s="89"/>
      <c r="I123" s="90"/>
      <c r="J123" s="90"/>
      <c r="K123" s="90"/>
      <c r="L123" s="90"/>
      <c r="M123" s="90"/>
    </row>
    <row r="124" spans="1:13" ht="12.75" customHeight="1">
      <c r="A124" s="99" t="s">
        <v>80</v>
      </c>
      <c r="B124" s="30"/>
      <c r="C124" s="89"/>
      <c r="D124" s="89"/>
      <c r="E124" s="91"/>
      <c r="F124" s="89"/>
      <c r="G124" s="89"/>
      <c r="H124" s="89"/>
      <c r="I124" s="90"/>
      <c r="J124" s="90"/>
      <c r="K124" s="90"/>
      <c r="L124" s="90"/>
      <c r="M124" s="90"/>
    </row>
    <row r="125" spans="1:13" ht="12.75" customHeight="1">
      <c r="A125" s="99" t="s">
        <v>81</v>
      </c>
      <c r="B125" s="30"/>
      <c r="C125" s="89"/>
      <c r="D125" s="89"/>
      <c r="E125" s="91"/>
      <c r="F125" s="89"/>
      <c r="G125" s="89"/>
      <c r="H125" s="89"/>
      <c r="I125" s="90"/>
      <c r="J125" s="90"/>
      <c r="K125" s="90"/>
      <c r="L125" s="90"/>
      <c r="M125" s="90"/>
    </row>
    <row r="126" spans="1:13" ht="12.75" customHeight="1">
      <c r="A126" s="99" t="s">
        <v>82</v>
      </c>
      <c r="B126" s="30"/>
      <c r="C126" s="89"/>
      <c r="D126" s="92"/>
      <c r="E126" s="91"/>
      <c r="F126" s="89"/>
      <c r="G126" s="89"/>
      <c r="H126" s="89"/>
      <c r="I126" s="90"/>
      <c r="J126" s="90"/>
      <c r="K126" s="90"/>
      <c r="L126" s="90"/>
      <c r="M126" s="90"/>
    </row>
    <row r="127" spans="1:13" ht="12.75" customHeight="1">
      <c r="A127" s="99" t="s">
        <v>84</v>
      </c>
      <c r="B127" s="30"/>
      <c r="C127" s="89"/>
      <c r="D127" s="30"/>
      <c r="E127" s="30"/>
      <c r="F127" s="30"/>
      <c r="G127" s="30"/>
      <c r="H127" s="30"/>
      <c r="I127" s="90"/>
      <c r="J127" s="90"/>
      <c r="K127" s="90"/>
      <c r="L127" s="90"/>
      <c r="M127" s="90"/>
    </row>
    <row r="128" spans="1:13" ht="12.75" customHeight="1">
      <c r="A128" s="99" t="s">
        <v>85</v>
      </c>
      <c r="B128" s="30"/>
      <c r="C128" s="89"/>
      <c r="D128" s="30"/>
      <c r="E128" s="30"/>
      <c r="F128" s="30"/>
      <c r="G128" s="30"/>
      <c r="H128" s="30"/>
      <c r="I128" s="90"/>
      <c r="J128" s="90"/>
      <c r="K128" s="90"/>
      <c r="L128" s="90"/>
      <c r="M128" s="90"/>
    </row>
    <row r="129" spans="1:13" ht="12.75" customHeight="1">
      <c r="A129" s="99" t="s">
        <v>86</v>
      </c>
      <c r="B129" s="30"/>
      <c r="C129" s="89"/>
      <c r="D129" s="89"/>
      <c r="E129" s="89"/>
      <c r="F129" s="89"/>
      <c r="G129" s="89"/>
      <c r="H129" s="89"/>
      <c r="I129" s="89"/>
      <c r="J129" s="89"/>
      <c r="K129" s="89"/>
      <c r="L129" s="89"/>
      <c r="M129" s="89"/>
    </row>
    <row r="130" spans="1:13" ht="12.75" customHeight="1">
      <c r="A130" s="30"/>
      <c r="B130" s="30"/>
      <c r="C130" s="93"/>
      <c r="D130" s="94"/>
      <c r="E130" s="93"/>
      <c r="F130" s="93"/>
      <c r="G130" s="93"/>
      <c r="H130" s="93"/>
      <c r="I130" s="93"/>
      <c r="J130" s="93"/>
      <c r="K130" s="93"/>
      <c r="L130" s="95"/>
      <c r="M130" s="93"/>
    </row>
    <row r="131" spans="1:13" ht="12.75" customHeight="1">
      <c r="A131" s="30"/>
      <c r="B131" s="30"/>
      <c r="C131" s="93"/>
      <c r="D131" s="95"/>
      <c r="E131" s="93"/>
      <c r="F131" s="93"/>
      <c r="G131" s="93"/>
      <c r="H131" s="93"/>
      <c r="I131" s="93"/>
      <c r="J131" s="93"/>
      <c r="K131" s="93"/>
      <c r="L131" s="95"/>
      <c r="M131" s="93"/>
    </row>
    <row r="132" spans="1:13" ht="12.75" customHeight="1">
      <c r="A132" s="30"/>
      <c r="B132" s="30"/>
      <c r="C132" s="89"/>
      <c r="D132" s="30"/>
      <c r="E132" s="30"/>
      <c r="F132" s="30"/>
      <c r="G132" s="30"/>
      <c r="H132" s="30"/>
      <c r="I132" s="90"/>
      <c r="J132" s="90"/>
      <c r="K132" s="90"/>
      <c r="L132" s="96"/>
      <c r="M132" s="90"/>
    </row>
    <row r="133" spans="1:13" ht="12.75" customHeight="1">
      <c r="A133" s="30"/>
      <c r="B133" s="30"/>
      <c r="C133" s="89"/>
      <c r="D133" s="30"/>
      <c r="E133" s="30"/>
      <c r="F133" s="30"/>
      <c r="G133" s="30"/>
      <c r="H133" s="30"/>
      <c r="I133" s="90"/>
      <c r="J133" s="90"/>
      <c r="K133" s="90"/>
      <c r="L133" s="96"/>
      <c r="M133" s="90"/>
    </row>
    <row r="134" spans="1:13" ht="12.75" customHeight="1">
      <c r="A134" s="30"/>
      <c r="B134" s="30"/>
      <c r="C134" s="93"/>
      <c r="D134" s="93"/>
      <c r="E134" s="93"/>
      <c r="F134" s="93"/>
      <c r="G134" s="93"/>
      <c r="H134" s="93"/>
      <c r="I134" s="93"/>
      <c r="J134" s="93"/>
      <c r="K134" s="93"/>
      <c r="L134" s="94"/>
      <c r="M134" s="93"/>
    </row>
    <row r="135" spans="1:13" ht="12.75" customHeight="1">
      <c r="A135" s="30"/>
      <c r="B135" s="30"/>
      <c r="C135" s="89"/>
      <c r="D135" s="30"/>
      <c r="E135" s="30"/>
      <c r="F135" s="30"/>
      <c r="G135" s="30"/>
      <c r="H135" s="30"/>
      <c r="I135" s="90"/>
      <c r="J135" s="90"/>
      <c r="K135" s="90"/>
      <c r="L135" s="96"/>
      <c r="M135" s="90"/>
    </row>
    <row r="136" spans="1:13" ht="12.75" customHeight="1">
      <c r="A136" s="30"/>
      <c r="B136" s="30"/>
      <c r="C136" s="89"/>
      <c r="D136" s="30"/>
      <c r="E136" s="30"/>
      <c r="F136" s="30"/>
      <c r="G136" s="30"/>
      <c r="H136" s="97"/>
      <c r="I136" s="90"/>
      <c r="J136" s="90"/>
      <c r="K136" s="90"/>
      <c r="L136" s="96"/>
      <c r="M136" s="90"/>
    </row>
    <row r="137" spans="1:13" ht="12.75" customHeight="1">
      <c r="A137" s="30"/>
      <c r="B137" s="30"/>
      <c r="C137" s="89"/>
      <c r="D137" s="30"/>
      <c r="E137" s="30"/>
      <c r="F137" s="30"/>
      <c r="G137" s="30"/>
      <c r="H137" s="97"/>
      <c r="I137" s="90"/>
      <c r="J137" s="90"/>
      <c r="K137" s="90"/>
      <c r="L137" s="96"/>
      <c r="M137" s="90"/>
    </row>
    <row r="138" spans="1:13" ht="12.75" customHeight="1">
      <c r="A138" s="30"/>
      <c r="B138" s="30"/>
      <c r="C138" s="30"/>
      <c r="D138" s="30"/>
      <c r="E138" s="30"/>
      <c r="F138" s="30"/>
      <c r="G138" s="30"/>
      <c r="H138" s="30"/>
      <c r="I138" s="90"/>
      <c r="J138" s="90"/>
      <c r="K138" s="90"/>
      <c r="L138" s="98"/>
      <c r="M138" s="90"/>
    </row>
    <row r="139" spans="1:13" ht="12.75" customHeight="1">
      <c r="A139" s="30"/>
      <c r="B139" s="30"/>
      <c r="C139" s="30"/>
      <c r="D139" s="30"/>
      <c r="E139" s="30"/>
      <c r="F139" s="30"/>
      <c r="G139" s="30"/>
      <c r="H139" s="30"/>
      <c r="I139" s="90"/>
      <c r="J139" s="90"/>
      <c r="K139" s="90"/>
      <c r="L139" s="98"/>
      <c r="M139" s="90"/>
    </row>
    <row r="140" spans="1:13" ht="12.75" customHeight="1">
      <c r="A140" s="30"/>
      <c r="B140" s="30"/>
      <c r="C140" s="30"/>
      <c r="D140" s="30"/>
      <c r="E140" s="30"/>
      <c r="F140" s="30"/>
      <c r="G140" s="30"/>
      <c r="H140" s="30"/>
      <c r="I140" s="90"/>
      <c r="J140" s="90"/>
      <c r="K140" s="90"/>
      <c r="L140" s="98"/>
      <c r="M140" s="90"/>
    </row>
    <row r="141" spans="1:13" ht="12.75" customHeight="1">
      <c r="A141" s="30"/>
      <c r="B141" s="30"/>
      <c r="C141" s="30"/>
      <c r="D141" s="30"/>
      <c r="E141" s="30"/>
      <c r="F141" s="30"/>
      <c r="G141" s="30"/>
      <c r="H141" s="30"/>
      <c r="I141" s="90"/>
      <c r="J141" s="90"/>
      <c r="K141" s="90"/>
      <c r="L141" s="90"/>
      <c r="M141" s="90"/>
    </row>
    <row r="142" spans="9:13" ht="12.75" customHeight="1">
      <c r="I142" s="43"/>
      <c r="J142" s="43"/>
      <c r="K142" s="43"/>
      <c r="L142" s="43"/>
      <c r="M142" s="43"/>
    </row>
    <row r="143" spans="9:13" ht="12.75" customHeight="1">
      <c r="I143" s="43"/>
      <c r="J143" s="43"/>
      <c r="K143" s="43"/>
      <c r="L143" s="43"/>
      <c r="M143" s="43"/>
    </row>
    <row r="144" spans="9:13" ht="12.75" customHeight="1">
      <c r="I144" s="43"/>
      <c r="J144" s="43"/>
      <c r="K144" s="43"/>
      <c r="L144" s="43"/>
      <c r="M144" s="43"/>
    </row>
    <row r="145" spans="9:13" ht="12.75" customHeight="1">
      <c r="I145" s="43"/>
      <c r="J145" s="43"/>
      <c r="K145" s="43"/>
      <c r="L145" s="43"/>
      <c r="M145" s="43"/>
    </row>
    <row r="146" spans="9:13" ht="12.75" customHeight="1">
      <c r="I146" s="43"/>
      <c r="J146" s="43"/>
      <c r="K146" s="43"/>
      <c r="L146" s="43"/>
      <c r="M146" s="43"/>
    </row>
    <row r="147" spans="9:13" ht="12.75" customHeight="1">
      <c r="I147" s="43"/>
      <c r="J147" s="43"/>
      <c r="K147" s="43"/>
      <c r="L147" s="43"/>
      <c r="M147" s="43"/>
    </row>
    <row r="148" spans="9:13" ht="12.75" customHeight="1">
      <c r="I148" s="43"/>
      <c r="J148" s="43"/>
      <c r="K148" s="43"/>
      <c r="L148" s="43"/>
      <c r="M148" s="43"/>
    </row>
    <row r="149" spans="9:13" ht="12.75" customHeight="1">
      <c r="I149" s="43"/>
      <c r="J149" s="43"/>
      <c r="K149" s="43"/>
      <c r="L149" s="43"/>
      <c r="M149" s="43"/>
    </row>
    <row r="150" spans="9:13" ht="12.75" customHeight="1">
      <c r="I150" s="43"/>
      <c r="J150" s="43"/>
      <c r="K150" s="43"/>
      <c r="L150" s="43"/>
      <c r="M150" s="43"/>
    </row>
    <row r="151" spans="9:13" ht="12.75" customHeight="1">
      <c r="I151" s="43"/>
      <c r="J151" s="43"/>
      <c r="K151" s="43"/>
      <c r="L151" s="43"/>
      <c r="M151" s="43"/>
    </row>
    <row r="152" spans="9:13" ht="12.75" customHeight="1">
      <c r="I152" s="43"/>
      <c r="J152" s="43"/>
      <c r="K152" s="43"/>
      <c r="L152" s="43"/>
      <c r="M152" s="43"/>
    </row>
    <row r="153" spans="9:13" ht="12.75" customHeight="1">
      <c r="I153" s="43"/>
      <c r="J153" s="43"/>
      <c r="K153" s="43"/>
      <c r="L153" s="43"/>
      <c r="M153" s="43"/>
    </row>
    <row r="154" spans="9:13" ht="12.75" customHeight="1">
      <c r="I154" s="43"/>
      <c r="J154" s="43"/>
      <c r="K154" s="43"/>
      <c r="L154" s="43"/>
      <c r="M154" s="43"/>
    </row>
    <row r="155" spans="9:13" ht="12.75" customHeight="1">
      <c r="I155" s="43"/>
      <c r="J155" s="43"/>
      <c r="K155" s="43"/>
      <c r="L155" s="43"/>
      <c r="M155" s="43"/>
    </row>
    <row r="156" spans="9:13" ht="12.75" customHeight="1">
      <c r="I156" s="43"/>
      <c r="J156" s="43"/>
      <c r="K156" s="43"/>
      <c r="L156" s="43"/>
      <c r="M156" s="43"/>
    </row>
    <row r="157" spans="9:13" ht="12.75" customHeight="1">
      <c r="I157" s="43"/>
      <c r="J157" s="43"/>
      <c r="K157" s="43"/>
      <c r="L157" s="43"/>
      <c r="M157" s="43"/>
    </row>
    <row r="158" spans="9:13" ht="12.75" customHeight="1">
      <c r="I158" s="43"/>
      <c r="J158" s="43"/>
      <c r="K158" s="43"/>
      <c r="L158" s="43"/>
      <c r="M158" s="43"/>
    </row>
    <row r="159" spans="9:13" ht="12.75" customHeight="1">
      <c r="I159" s="43"/>
      <c r="J159" s="43"/>
      <c r="K159" s="43"/>
      <c r="L159" s="43"/>
      <c r="M159" s="43"/>
    </row>
    <row r="160" spans="9:13" ht="12.75" customHeight="1">
      <c r="I160" s="43"/>
      <c r="J160" s="43"/>
      <c r="K160" s="43"/>
      <c r="L160" s="43"/>
      <c r="M160" s="43"/>
    </row>
    <row r="161" spans="9:13" ht="12.75" customHeight="1">
      <c r="I161" s="43"/>
      <c r="J161" s="43"/>
      <c r="K161" s="43"/>
      <c r="L161" s="43"/>
      <c r="M161" s="43"/>
    </row>
    <row r="162" spans="9:13" ht="12.75" customHeight="1">
      <c r="I162" s="43"/>
      <c r="J162" s="43"/>
      <c r="K162" s="43"/>
      <c r="L162" s="43"/>
      <c r="M162" s="43"/>
    </row>
    <row r="163" spans="9:13" ht="12.75" customHeight="1">
      <c r="I163" s="43"/>
      <c r="J163" s="43"/>
      <c r="K163" s="43"/>
      <c r="L163" s="43"/>
      <c r="M163" s="43"/>
    </row>
    <row r="164" spans="9:13" ht="12.75" customHeight="1">
      <c r="I164" s="43"/>
      <c r="J164" s="43"/>
      <c r="K164" s="43"/>
      <c r="L164" s="43"/>
      <c r="M164" s="43"/>
    </row>
    <row r="165" spans="9:13" ht="12.75" customHeight="1">
      <c r="I165" s="43"/>
      <c r="J165" s="43"/>
      <c r="K165" s="43"/>
      <c r="L165" s="43"/>
      <c r="M165" s="43"/>
    </row>
    <row r="166" spans="9:13" ht="12.75" customHeight="1">
      <c r="I166" s="43"/>
      <c r="J166" s="43"/>
      <c r="K166" s="43"/>
      <c r="L166" s="43"/>
      <c r="M166" s="43"/>
    </row>
    <row r="167" spans="9:13" ht="12.75" customHeight="1">
      <c r="I167" s="43"/>
      <c r="J167" s="43"/>
      <c r="K167" s="43"/>
      <c r="L167" s="43"/>
      <c r="M167" s="43"/>
    </row>
    <row r="168" spans="9:13" ht="12.75" customHeight="1">
      <c r="I168" s="43"/>
      <c r="J168" s="43"/>
      <c r="K168" s="43"/>
      <c r="L168" s="43"/>
      <c r="M168" s="43"/>
    </row>
    <row r="169" spans="9:13" ht="12.75" customHeight="1">
      <c r="I169" s="43"/>
      <c r="J169" s="43"/>
      <c r="K169" s="43"/>
      <c r="L169" s="43"/>
      <c r="M169" s="43"/>
    </row>
    <row r="170" spans="9:13" ht="12.75" customHeight="1">
      <c r="I170" s="43"/>
      <c r="J170" s="43"/>
      <c r="K170" s="43"/>
      <c r="L170" s="43"/>
      <c r="M170" s="43"/>
    </row>
    <row r="171" spans="9:13" ht="12.75" customHeight="1">
      <c r="I171" s="43"/>
      <c r="J171" s="43"/>
      <c r="K171" s="43"/>
      <c r="L171" s="43"/>
      <c r="M171" s="43"/>
    </row>
    <row r="172" spans="9:13" ht="12.75" customHeight="1">
      <c r="I172" s="43"/>
      <c r="J172" s="43"/>
      <c r="K172" s="43"/>
      <c r="L172" s="43"/>
      <c r="M172" s="43"/>
    </row>
    <row r="173" spans="9:13" ht="12.75" customHeight="1">
      <c r="I173" s="43"/>
      <c r="J173" s="43"/>
      <c r="K173" s="43"/>
      <c r="L173" s="43"/>
      <c r="M173" s="43"/>
    </row>
    <row r="174" spans="9:13" ht="12.75" customHeight="1">
      <c r="I174" s="43"/>
      <c r="J174" s="43"/>
      <c r="K174" s="43"/>
      <c r="L174" s="43"/>
      <c r="M174" s="43"/>
    </row>
    <row r="175" spans="9:13" ht="12.75" customHeight="1">
      <c r="I175" s="43"/>
      <c r="J175" s="43"/>
      <c r="K175" s="43"/>
      <c r="L175" s="43"/>
      <c r="M175" s="43"/>
    </row>
    <row r="176" spans="9:13" ht="12.75" customHeight="1">
      <c r="I176" s="43"/>
      <c r="J176" s="43"/>
      <c r="K176" s="43"/>
      <c r="L176" s="43"/>
      <c r="M176" s="43"/>
    </row>
    <row r="177" spans="9:13" ht="12.75" customHeight="1">
      <c r="I177" s="43"/>
      <c r="J177" s="43"/>
      <c r="K177" s="43"/>
      <c r="L177" s="43"/>
      <c r="M177" s="43"/>
    </row>
    <row r="178" spans="9:13" ht="12.75" customHeight="1">
      <c r="I178" s="43"/>
      <c r="J178" s="43"/>
      <c r="K178" s="43"/>
      <c r="L178" s="43"/>
      <c r="M178" s="43"/>
    </row>
    <row r="179" spans="9:13" ht="12.75" customHeight="1">
      <c r="I179" s="43"/>
      <c r="J179" s="43"/>
      <c r="K179" s="43"/>
      <c r="L179" s="43"/>
      <c r="M179" s="43"/>
    </row>
    <row r="180" spans="9:13" ht="12.75" customHeight="1">
      <c r="I180" s="43"/>
      <c r="J180" s="43"/>
      <c r="K180" s="43"/>
      <c r="L180" s="43"/>
      <c r="M180" s="43"/>
    </row>
    <row r="181" spans="9:13" ht="12.75" customHeight="1">
      <c r="I181" s="43"/>
      <c r="J181" s="43"/>
      <c r="K181" s="43"/>
      <c r="L181" s="43"/>
      <c r="M181" s="43"/>
    </row>
    <row r="182" spans="9:13" ht="12.75" customHeight="1">
      <c r="I182" s="43"/>
      <c r="J182" s="43"/>
      <c r="K182" s="43"/>
      <c r="L182" s="43"/>
      <c r="M182" s="43"/>
    </row>
    <row r="183" spans="9:13" ht="12.75" customHeight="1">
      <c r="I183" s="43"/>
      <c r="J183" s="43"/>
      <c r="K183" s="43"/>
      <c r="L183" s="43"/>
      <c r="M183" s="43"/>
    </row>
    <row r="184" spans="9:13" ht="12.75" customHeight="1">
      <c r="I184" s="43"/>
      <c r="J184" s="43"/>
      <c r="K184" s="43"/>
      <c r="L184" s="43"/>
      <c r="M184" s="43"/>
    </row>
    <row r="185" spans="9:13" ht="12.75" customHeight="1">
      <c r="I185" s="43"/>
      <c r="J185" s="43"/>
      <c r="K185" s="43"/>
      <c r="L185" s="43"/>
      <c r="M185" s="43"/>
    </row>
    <row r="186" spans="9:13" ht="12.75" customHeight="1">
      <c r="I186" s="43"/>
      <c r="J186" s="43"/>
      <c r="K186" s="43"/>
      <c r="L186" s="43"/>
      <c r="M186" s="43"/>
    </row>
    <row r="187" spans="9:13" ht="12.75" customHeight="1">
      <c r="I187" s="43"/>
      <c r="J187" s="43"/>
      <c r="K187" s="43"/>
      <c r="L187" s="43"/>
      <c r="M187" s="43"/>
    </row>
    <row r="188" spans="9:13" ht="12.75" customHeight="1">
      <c r="I188" s="43"/>
      <c r="J188" s="43"/>
      <c r="K188" s="43"/>
      <c r="L188" s="43"/>
      <c r="M188" s="43"/>
    </row>
    <row r="189" spans="9:13" ht="12.75" customHeight="1">
      <c r="I189" s="43"/>
      <c r="J189" s="43"/>
      <c r="K189" s="43"/>
      <c r="L189" s="43"/>
      <c r="M189" s="43"/>
    </row>
    <row r="190" spans="9:13" ht="12.75" customHeight="1">
      <c r="I190" s="43"/>
      <c r="J190" s="43"/>
      <c r="K190" s="43"/>
      <c r="L190" s="43"/>
      <c r="M190" s="43"/>
    </row>
    <row r="191" spans="9:13" ht="12.75" customHeight="1">
      <c r="I191" s="43"/>
      <c r="J191" s="43"/>
      <c r="K191" s="43"/>
      <c r="L191" s="43"/>
      <c r="M191" s="43"/>
    </row>
    <row r="192" spans="9:13" ht="12.75" customHeight="1">
      <c r="I192" s="43"/>
      <c r="J192" s="43"/>
      <c r="K192" s="43"/>
      <c r="L192" s="43"/>
      <c r="M192" s="43"/>
    </row>
    <row r="193" spans="9:13" ht="12.75" customHeight="1">
      <c r="I193" s="43"/>
      <c r="J193" s="43"/>
      <c r="K193" s="43"/>
      <c r="L193" s="43"/>
      <c r="M193" s="43"/>
    </row>
    <row r="194" spans="9:13" ht="12.75" customHeight="1">
      <c r="I194" s="43"/>
      <c r="J194" s="43"/>
      <c r="K194" s="43"/>
      <c r="L194" s="43"/>
      <c r="M194" s="43"/>
    </row>
    <row r="195" spans="9:13" ht="12.75" customHeight="1">
      <c r="I195" s="43"/>
      <c r="J195" s="43"/>
      <c r="K195" s="43"/>
      <c r="L195" s="43"/>
      <c r="M195" s="43"/>
    </row>
    <row r="196" spans="9:13" ht="12.75" customHeight="1">
      <c r="I196" s="43"/>
      <c r="J196" s="43"/>
      <c r="K196" s="43"/>
      <c r="L196" s="43"/>
      <c r="M196" s="43"/>
    </row>
    <row r="197" spans="9:13" ht="12.75" customHeight="1">
      <c r="I197" s="43"/>
      <c r="J197" s="43"/>
      <c r="K197" s="43"/>
      <c r="L197" s="43"/>
      <c r="M197" s="43"/>
    </row>
    <row r="198" spans="9:13" ht="12.75" customHeight="1">
      <c r="I198" s="43"/>
      <c r="J198" s="43"/>
      <c r="K198" s="43"/>
      <c r="L198" s="43"/>
      <c r="M198" s="43"/>
    </row>
    <row r="199" spans="9:13" ht="12.75" customHeight="1">
      <c r="I199" s="43"/>
      <c r="J199" s="43"/>
      <c r="K199" s="43"/>
      <c r="L199" s="43"/>
      <c r="M199" s="43"/>
    </row>
    <row r="200" spans="9:13" ht="12.75" customHeight="1">
      <c r="I200" s="43"/>
      <c r="J200" s="43"/>
      <c r="K200" s="43"/>
      <c r="L200" s="43"/>
      <c r="M200" s="43"/>
    </row>
    <row r="201" spans="9:13" ht="12.75" customHeight="1">
      <c r="I201" s="43"/>
      <c r="J201" s="43"/>
      <c r="K201" s="43"/>
      <c r="L201" s="43"/>
      <c r="M201" s="43"/>
    </row>
    <row r="202" spans="9:13" ht="12.75" customHeight="1">
      <c r="I202" s="43"/>
      <c r="J202" s="43"/>
      <c r="K202" s="43"/>
      <c r="L202" s="43"/>
      <c r="M202" s="43"/>
    </row>
    <row r="203" spans="9:13" ht="12.75" customHeight="1">
      <c r="I203" s="43"/>
      <c r="J203" s="43"/>
      <c r="K203" s="43"/>
      <c r="L203" s="43"/>
      <c r="M203" s="43"/>
    </row>
    <row r="204" spans="9:13" ht="12.75" customHeight="1">
      <c r="I204" s="43"/>
      <c r="J204" s="43"/>
      <c r="K204" s="43"/>
      <c r="L204" s="43"/>
      <c r="M204" s="43"/>
    </row>
    <row r="205" spans="9:13" ht="12.75" customHeight="1">
      <c r="I205" s="43"/>
      <c r="J205" s="43"/>
      <c r="K205" s="43"/>
      <c r="L205" s="43"/>
      <c r="M205" s="43"/>
    </row>
    <row r="206" spans="9:13" ht="12.75" customHeight="1">
      <c r="I206" s="43"/>
      <c r="J206" s="43"/>
      <c r="K206" s="43"/>
      <c r="L206" s="43"/>
      <c r="M206" s="43"/>
    </row>
    <row r="207" spans="9:13" ht="12.75" customHeight="1">
      <c r="I207" s="43"/>
      <c r="J207" s="43"/>
      <c r="K207" s="43"/>
      <c r="L207" s="43"/>
      <c r="M207" s="43"/>
    </row>
    <row r="208" spans="9:13" ht="12.75" customHeight="1">
      <c r="I208" s="43"/>
      <c r="J208" s="43"/>
      <c r="K208" s="43"/>
      <c r="L208" s="43"/>
      <c r="M208" s="43"/>
    </row>
    <row r="209" spans="9:13" ht="12.75" customHeight="1">
      <c r="I209" s="43"/>
      <c r="J209" s="43"/>
      <c r="K209" s="43"/>
      <c r="L209" s="43"/>
      <c r="M209" s="43"/>
    </row>
    <row r="210" spans="9:13" ht="12.75" customHeight="1">
      <c r="I210" s="43"/>
      <c r="J210" s="43"/>
      <c r="K210" s="43"/>
      <c r="L210" s="43"/>
      <c r="M210" s="43"/>
    </row>
    <row r="211" spans="9:13" ht="12.75" customHeight="1">
      <c r="I211" s="43"/>
      <c r="J211" s="43"/>
      <c r="K211" s="43"/>
      <c r="L211" s="43"/>
      <c r="M211" s="43"/>
    </row>
    <row r="212" spans="9:13" ht="12.75" customHeight="1">
      <c r="I212" s="43"/>
      <c r="J212" s="43"/>
      <c r="K212" s="43"/>
      <c r="L212" s="43"/>
      <c r="M212" s="43"/>
    </row>
    <row r="213" spans="9:13" ht="12.75" customHeight="1">
      <c r="I213" s="43"/>
      <c r="J213" s="43"/>
      <c r="K213" s="43"/>
      <c r="L213" s="43"/>
      <c r="M213" s="43"/>
    </row>
    <row r="214" spans="9:13" ht="12.75" customHeight="1">
      <c r="I214" s="43"/>
      <c r="J214" s="43"/>
      <c r="K214" s="43"/>
      <c r="L214" s="43"/>
      <c r="M214" s="43"/>
    </row>
    <row r="215" spans="9:13" ht="12.75" customHeight="1">
      <c r="I215" s="43"/>
      <c r="J215" s="43"/>
      <c r="K215" s="43"/>
      <c r="L215" s="43"/>
      <c r="M215" s="43"/>
    </row>
    <row r="216" spans="9:13" ht="12.75" customHeight="1">
      <c r="I216" s="43"/>
      <c r="J216" s="43"/>
      <c r="K216" s="43"/>
      <c r="L216" s="43"/>
      <c r="M216" s="43"/>
    </row>
    <row r="217" spans="9:13" ht="12.75" customHeight="1">
      <c r="I217" s="43"/>
      <c r="J217" s="43"/>
      <c r="K217" s="43"/>
      <c r="L217" s="43"/>
      <c r="M217" s="43"/>
    </row>
    <row r="218" spans="9:13" ht="12.75" customHeight="1">
      <c r="I218" s="43"/>
      <c r="J218" s="43"/>
      <c r="K218" s="43"/>
      <c r="L218" s="43"/>
      <c r="M218" s="43"/>
    </row>
    <row r="219" spans="9:13" ht="12.75" customHeight="1">
      <c r="I219" s="43"/>
      <c r="J219" s="43"/>
      <c r="K219" s="43"/>
      <c r="L219" s="43"/>
      <c r="M219" s="43"/>
    </row>
    <row r="220" spans="9:13" ht="12.75" customHeight="1">
      <c r="I220" s="43"/>
      <c r="J220" s="43"/>
      <c r="K220" s="43"/>
      <c r="L220" s="43"/>
      <c r="M220" s="43"/>
    </row>
    <row r="221" spans="9:13" ht="12.75" customHeight="1">
      <c r="I221" s="43"/>
      <c r="J221" s="43"/>
      <c r="K221" s="43"/>
      <c r="L221" s="43"/>
      <c r="M221" s="43"/>
    </row>
    <row r="222" spans="9:13" ht="12.75" customHeight="1">
      <c r="I222" s="43"/>
      <c r="J222" s="43"/>
      <c r="K222" s="43"/>
      <c r="L222" s="43"/>
      <c r="M222" s="43"/>
    </row>
    <row r="223" spans="9:13" ht="12.75" customHeight="1">
      <c r="I223" s="43"/>
      <c r="J223" s="43"/>
      <c r="K223" s="43"/>
      <c r="L223" s="43"/>
      <c r="M223" s="43"/>
    </row>
    <row r="224" spans="9:13" ht="12.75" customHeight="1">
      <c r="I224" s="43"/>
      <c r="J224" s="43"/>
      <c r="K224" s="43"/>
      <c r="L224" s="43"/>
      <c r="M224" s="43"/>
    </row>
    <row r="225" spans="9:13" ht="12.75" customHeight="1">
      <c r="I225" s="43"/>
      <c r="J225" s="43"/>
      <c r="K225" s="43"/>
      <c r="L225" s="43"/>
      <c r="M225" s="43"/>
    </row>
    <row r="226" spans="9:13" ht="12.75" customHeight="1">
      <c r="I226" s="43"/>
      <c r="J226" s="43"/>
      <c r="K226" s="43"/>
      <c r="L226" s="43"/>
      <c r="M226" s="43"/>
    </row>
    <row r="227" spans="9:13" ht="12.75" customHeight="1">
      <c r="I227" s="43"/>
      <c r="J227" s="43"/>
      <c r="K227" s="43"/>
      <c r="L227" s="43"/>
      <c r="M227" s="43"/>
    </row>
    <row r="228" spans="9:13" ht="12.75" customHeight="1">
      <c r="I228" s="43"/>
      <c r="J228" s="43"/>
      <c r="K228" s="43"/>
      <c r="L228" s="43"/>
      <c r="M228" s="43"/>
    </row>
    <row r="229" spans="9:13" ht="12.75" customHeight="1">
      <c r="I229" s="43"/>
      <c r="J229" s="43"/>
      <c r="K229" s="43"/>
      <c r="L229" s="43"/>
      <c r="M229" s="43"/>
    </row>
    <row r="230" spans="9:13" ht="12.75" customHeight="1">
      <c r="I230" s="43"/>
      <c r="J230" s="43"/>
      <c r="K230" s="43"/>
      <c r="L230" s="43"/>
      <c r="M230" s="43"/>
    </row>
    <row r="231" spans="9:13" ht="12.75" customHeight="1">
      <c r="I231" s="43"/>
      <c r="J231" s="43"/>
      <c r="K231" s="43"/>
      <c r="L231" s="43"/>
      <c r="M231" s="43"/>
    </row>
    <row r="232" spans="9:13" ht="12.75" customHeight="1">
      <c r="I232" s="43"/>
      <c r="J232" s="43"/>
      <c r="K232" s="43"/>
      <c r="L232" s="43"/>
      <c r="M232" s="43"/>
    </row>
    <row r="233" spans="9:13" ht="12.75" customHeight="1">
      <c r="I233" s="43"/>
      <c r="J233" s="43"/>
      <c r="K233" s="43"/>
      <c r="L233" s="43"/>
      <c r="M233" s="43"/>
    </row>
    <row r="234" spans="9:13" ht="12.75" customHeight="1">
      <c r="I234" s="43"/>
      <c r="J234" s="43"/>
      <c r="K234" s="43"/>
      <c r="L234" s="43"/>
      <c r="M234" s="43"/>
    </row>
    <row r="235" spans="9:13" ht="12.75" customHeight="1">
      <c r="I235" s="43"/>
      <c r="J235" s="43"/>
      <c r="K235" s="43"/>
      <c r="L235" s="43"/>
      <c r="M235" s="43"/>
    </row>
    <row r="236" spans="9:13" ht="12.75" customHeight="1">
      <c r="I236" s="43"/>
      <c r="J236" s="43"/>
      <c r="K236" s="43"/>
      <c r="L236" s="43"/>
      <c r="M236" s="43"/>
    </row>
    <row r="237" spans="9:13" ht="12.75" customHeight="1">
      <c r="I237" s="43"/>
      <c r="J237" s="43"/>
      <c r="K237" s="43"/>
      <c r="L237" s="43"/>
      <c r="M237" s="43"/>
    </row>
    <row r="238" spans="9:13" ht="12.75" customHeight="1">
      <c r="I238" s="43"/>
      <c r="J238" s="43"/>
      <c r="K238" s="43"/>
      <c r="L238" s="43"/>
      <c r="M238" s="43"/>
    </row>
    <row r="239" spans="9:13" ht="12.75" customHeight="1">
      <c r="I239" s="43"/>
      <c r="J239" s="43"/>
      <c r="K239" s="43"/>
      <c r="L239" s="43"/>
      <c r="M239" s="43"/>
    </row>
    <row r="240" spans="9:13" ht="12.75" customHeight="1">
      <c r="I240" s="43"/>
      <c r="J240" s="43"/>
      <c r="K240" s="43"/>
      <c r="L240" s="43"/>
      <c r="M240" s="43"/>
    </row>
    <row r="241" spans="9:13" ht="12.75" customHeight="1">
      <c r="I241" s="43"/>
      <c r="J241" s="43"/>
      <c r="K241" s="43"/>
      <c r="L241" s="43"/>
      <c r="M241" s="43"/>
    </row>
    <row r="242" spans="9:13" ht="12.75" customHeight="1">
      <c r="I242" s="43"/>
      <c r="J242" s="43"/>
      <c r="K242" s="43"/>
      <c r="L242" s="43"/>
      <c r="M242" s="43"/>
    </row>
    <row r="243" spans="9:13" ht="12.75" customHeight="1">
      <c r="I243" s="43"/>
      <c r="J243" s="43"/>
      <c r="K243" s="43"/>
      <c r="L243" s="43"/>
      <c r="M243" s="43"/>
    </row>
    <row r="244" spans="9:13" ht="12.75" customHeight="1">
      <c r="I244" s="43"/>
      <c r="J244" s="43"/>
      <c r="K244" s="43"/>
      <c r="L244" s="43"/>
      <c r="M244" s="43"/>
    </row>
    <row r="245" spans="9:13" ht="12.75" customHeight="1">
      <c r="I245" s="43"/>
      <c r="J245" s="43"/>
      <c r="K245" s="43"/>
      <c r="L245" s="43"/>
      <c r="M245" s="43"/>
    </row>
    <row r="246" spans="9:13" ht="12.75" customHeight="1">
      <c r="I246" s="43"/>
      <c r="J246" s="43"/>
      <c r="K246" s="43"/>
      <c r="L246" s="43"/>
      <c r="M246" s="43"/>
    </row>
    <row r="247" spans="9:13" ht="12.75" customHeight="1">
      <c r="I247" s="43"/>
      <c r="J247" s="43"/>
      <c r="K247" s="43"/>
      <c r="L247" s="43"/>
      <c r="M247" s="43"/>
    </row>
    <row r="248" spans="9:13" ht="12.75" customHeight="1">
      <c r="I248" s="43"/>
      <c r="J248" s="43"/>
      <c r="K248" s="43"/>
      <c r="L248" s="43"/>
      <c r="M248" s="43"/>
    </row>
    <row r="249" spans="9:13" ht="12.75" customHeight="1">
      <c r="I249" s="43"/>
      <c r="J249" s="43"/>
      <c r="K249" s="43"/>
      <c r="L249" s="43"/>
      <c r="M249" s="43"/>
    </row>
    <row r="250" spans="9:13" ht="12.75" customHeight="1">
      <c r="I250" s="43"/>
      <c r="J250" s="43"/>
      <c r="K250" s="43"/>
      <c r="L250" s="43"/>
      <c r="M250" s="43"/>
    </row>
    <row r="251" spans="9:13" ht="12.75" customHeight="1">
      <c r="I251" s="43"/>
      <c r="J251" s="43"/>
      <c r="K251" s="43"/>
      <c r="L251" s="43"/>
      <c r="M251" s="43"/>
    </row>
    <row r="252" spans="9:13" ht="12.75" customHeight="1">
      <c r="I252" s="43"/>
      <c r="J252" s="43"/>
      <c r="K252" s="43"/>
      <c r="L252" s="43"/>
      <c r="M252" s="43"/>
    </row>
    <row r="253" spans="9:13" ht="12.75" customHeight="1">
      <c r="I253" s="43"/>
      <c r="J253" s="43"/>
      <c r="K253" s="43"/>
      <c r="L253" s="43"/>
      <c r="M253" s="43"/>
    </row>
    <row r="254" spans="9:13" ht="12.75" customHeight="1">
      <c r="I254" s="43"/>
      <c r="J254" s="43"/>
      <c r="K254" s="43"/>
      <c r="L254" s="43"/>
      <c r="M254" s="43"/>
    </row>
    <row r="255" spans="9:13" ht="12.75" customHeight="1">
      <c r="I255" s="43"/>
      <c r="J255" s="43"/>
      <c r="K255" s="43"/>
      <c r="L255" s="43"/>
      <c r="M255" s="43"/>
    </row>
    <row r="256" spans="9:13" ht="12.75" customHeight="1">
      <c r="I256" s="43"/>
      <c r="J256" s="43"/>
      <c r="K256" s="43"/>
      <c r="L256" s="43"/>
      <c r="M256" s="43"/>
    </row>
    <row r="257" spans="9:13" ht="12.75" customHeight="1">
      <c r="I257" s="43"/>
      <c r="J257" s="43"/>
      <c r="K257" s="43"/>
      <c r="L257" s="43"/>
      <c r="M257" s="43"/>
    </row>
    <row r="258" spans="9:13" ht="12.75" customHeight="1">
      <c r="I258" s="43"/>
      <c r="J258" s="43"/>
      <c r="K258" s="43"/>
      <c r="L258" s="43"/>
      <c r="M258" s="43"/>
    </row>
    <row r="259" spans="9:13" ht="12.75" customHeight="1">
      <c r="I259" s="43"/>
      <c r="J259" s="43"/>
      <c r="K259" s="43"/>
      <c r="L259" s="43"/>
      <c r="M259" s="43"/>
    </row>
    <row r="260" spans="9:13" ht="12.75" customHeight="1">
      <c r="I260" s="43"/>
      <c r="J260" s="43"/>
      <c r="K260" s="43"/>
      <c r="L260" s="43"/>
      <c r="M260" s="43"/>
    </row>
    <row r="261" spans="9:13" ht="12.75" customHeight="1">
      <c r="I261" s="43"/>
      <c r="J261" s="43"/>
      <c r="K261" s="43"/>
      <c r="L261" s="43"/>
      <c r="M261" s="43"/>
    </row>
    <row r="262" spans="9:13" ht="12.75" customHeight="1">
      <c r="I262" s="43"/>
      <c r="J262" s="43"/>
      <c r="K262" s="43"/>
      <c r="L262" s="43"/>
      <c r="M262" s="43"/>
    </row>
    <row r="263" spans="9:13" ht="12.75" customHeight="1">
      <c r="I263" s="43"/>
      <c r="J263" s="43"/>
      <c r="K263" s="43"/>
      <c r="L263" s="43"/>
      <c r="M263" s="43"/>
    </row>
    <row r="264" spans="9:13" ht="12.75" customHeight="1">
      <c r="I264" s="43"/>
      <c r="J264" s="43"/>
      <c r="K264" s="43"/>
      <c r="L264" s="43"/>
      <c r="M264" s="43"/>
    </row>
    <row r="265" spans="9:13" ht="12.75" customHeight="1">
      <c r="I265" s="43"/>
      <c r="J265" s="43"/>
      <c r="K265" s="43"/>
      <c r="L265" s="43"/>
      <c r="M265" s="43"/>
    </row>
    <row r="266" spans="9:13" ht="12.75" customHeight="1">
      <c r="I266" s="43"/>
      <c r="J266" s="43"/>
      <c r="K266" s="43"/>
      <c r="L266" s="43"/>
      <c r="M266" s="43"/>
    </row>
    <row r="267" spans="9:13" ht="12.75" customHeight="1">
      <c r="I267" s="43"/>
      <c r="J267" s="43"/>
      <c r="K267" s="43"/>
      <c r="L267" s="43"/>
      <c r="M267" s="43"/>
    </row>
    <row r="268" spans="9:13" ht="12.75" customHeight="1">
      <c r="I268" s="43"/>
      <c r="J268" s="43"/>
      <c r="K268" s="43"/>
      <c r="L268" s="43"/>
      <c r="M268" s="43"/>
    </row>
    <row r="269" spans="9:13" ht="12.75" customHeight="1">
      <c r="I269" s="43"/>
      <c r="J269" s="43"/>
      <c r="K269" s="43"/>
      <c r="L269" s="43"/>
      <c r="M269" s="43"/>
    </row>
    <row r="270" spans="9:13" ht="12.75" customHeight="1">
      <c r="I270" s="43"/>
      <c r="J270" s="43"/>
      <c r="K270" s="43"/>
      <c r="L270" s="43"/>
      <c r="M270" s="43"/>
    </row>
    <row r="271" spans="9:13" ht="12.75" customHeight="1">
      <c r="I271" s="43"/>
      <c r="J271" s="43"/>
      <c r="K271" s="43"/>
      <c r="L271" s="43"/>
      <c r="M271" s="43"/>
    </row>
    <row r="272" spans="9:13" ht="12.75" customHeight="1">
      <c r="I272" s="43"/>
      <c r="J272" s="43"/>
      <c r="K272" s="43"/>
      <c r="L272" s="43"/>
      <c r="M272" s="43"/>
    </row>
    <row r="273" spans="9:13" ht="12.75" customHeight="1">
      <c r="I273" s="43"/>
      <c r="J273" s="43"/>
      <c r="K273" s="43"/>
      <c r="L273" s="43"/>
      <c r="M273" s="43"/>
    </row>
    <row r="274" spans="9:13" ht="12.75" customHeight="1">
      <c r="I274" s="43"/>
      <c r="J274" s="43"/>
      <c r="K274" s="43"/>
      <c r="L274" s="43"/>
      <c r="M274" s="43"/>
    </row>
    <row r="275" spans="9:13" ht="12.75" customHeight="1">
      <c r="I275" s="43"/>
      <c r="J275" s="43"/>
      <c r="K275" s="43"/>
      <c r="L275" s="43"/>
      <c r="M275" s="43"/>
    </row>
    <row r="276" spans="9:13" ht="12.75" customHeight="1">
      <c r="I276" s="43"/>
      <c r="J276" s="43"/>
      <c r="K276" s="43"/>
      <c r="L276" s="43"/>
      <c r="M276" s="43"/>
    </row>
    <row r="277" spans="9:13" ht="12.75" customHeight="1">
      <c r="I277" s="43"/>
      <c r="J277" s="43"/>
      <c r="K277" s="43"/>
      <c r="L277" s="43"/>
      <c r="M277" s="43"/>
    </row>
    <row r="278" spans="9:13" ht="12.75" customHeight="1">
      <c r="I278" s="43"/>
      <c r="J278" s="43"/>
      <c r="K278" s="43"/>
      <c r="L278" s="43"/>
      <c r="M278" s="43"/>
    </row>
    <row r="279" spans="9:13" ht="12.75" customHeight="1">
      <c r="I279" s="43"/>
      <c r="J279" s="43"/>
      <c r="K279" s="43"/>
      <c r="L279" s="43"/>
      <c r="M279" s="43"/>
    </row>
    <row r="280" spans="9:13" ht="12.75" customHeight="1">
      <c r="I280" s="43"/>
      <c r="J280" s="43"/>
      <c r="K280" s="43"/>
      <c r="L280" s="43"/>
      <c r="M280" s="43"/>
    </row>
    <row r="281" spans="9:13" ht="12.75" customHeight="1">
      <c r="I281" s="43"/>
      <c r="J281" s="43"/>
      <c r="K281" s="43"/>
      <c r="L281" s="43"/>
      <c r="M281" s="43"/>
    </row>
    <row r="282" spans="9:13" ht="12.75" customHeight="1">
      <c r="I282" s="43"/>
      <c r="J282" s="43"/>
      <c r="K282" s="43"/>
      <c r="L282" s="43"/>
      <c r="M282" s="43"/>
    </row>
    <row r="283" spans="9:13" ht="12.75" customHeight="1">
      <c r="I283" s="43"/>
      <c r="J283" s="43"/>
      <c r="K283" s="43"/>
      <c r="L283" s="43"/>
      <c r="M283" s="43"/>
    </row>
    <row r="284" spans="9:13" ht="12.75" customHeight="1">
      <c r="I284" s="43"/>
      <c r="J284" s="43"/>
      <c r="K284" s="43"/>
      <c r="L284" s="43"/>
      <c r="M284" s="43"/>
    </row>
    <row r="285" spans="9:13" ht="12.75" customHeight="1">
      <c r="I285" s="43"/>
      <c r="J285" s="43"/>
      <c r="K285" s="43"/>
      <c r="L285" s="43"/>
      <c r="M285" s="43"/>
    </row>
    <row r="286" spans="9:13" ht="12.75" customHeight="1">
      <c r="I286" s="43"/>
      <c r="J286" s="43"/>
      <c r="K286" s="43"/>
      <c r="L286" s="43"/>
      <c r="M286" s="43"/>
    </row>
    <row r="287" spans="9:13" ht="12.75" customHeight="1">
      <c r="I287" s="43"/>
      <c r="J287" s="43"/>
      <c r="K287" s="43"/>
      <c r="L287" s="43"/>
      <c r="M287" s="43"/>
    </row>
    <row r="288" spans="9:13" ht="12.75" customHeight="1">
      <c r="I288" s="43"/>
      <c r="J288" s="43"/>
      <c r="K288" s="43"/>
      <c r="L288" s="43"/>
      <c r="M288" s="43"/>
    </row>
    <row r="289" spans="9:13" ht="12.75" customHeight="1">
      <c r="I289" s="43"/>
      <c r="J289" s="43"/>
      <c r="K289" s="43"/>
      <c r="L289" s="43"/>
      <c r="M289" s="43"/>
    </row>
    <row r="290" spans="9:13" ht="12.75" customHeight="1">
      <c r="I290" s="43"/>
      <c r="J290" s="43"/>
      <c r="K290" s="43"/>
      <c r="L290" s="43"/>
      <c r="M290" s="43"/>
    </row>
    <row r="291" spans="9:13" ht="12.75" customHeight="1">
      <c r="I291" s="43"/>
      <c r="J291" s="43"/>
      <c r="K291" s="43"/>
      <c r="L291" s="43"/>
      <c r="M291" s="43"/>
    </row>
    <row r="292" spans="9:13" ht="12.75" customHeight="1">
      <c r="I292" s="43"/>
      <c r="J292" s="43"/>
      <c r="K292" s="43"/>
      <c r="L292" s="43"/>
      <c r="M292" s="43"/>
    </row>
    <row r="293" spans="9:13" ht="12.75" customHeight="1">
      <c r="I293" s="43"/>
      <c r="J293" s="43"/>
      <c r="K293" s="43"/>
      <c r="L293" s="43"/>
      <c r="M293" s="43"/>
    </row>
    <row r="294" spans="9:13" ht="12.75" customHeight="1">
      <c r="I294" s="43"/>
      <c r="J294" s="43"/>
      <c r="K294" s="43"/>
      <c r="L294" s="43"/>
      <c r="M294" s="43"/>
    </row>
    <row r="295" spans="9:13" ht="12.75" customHeight="1">
      <c r="I295" s="43"/>
      <c r="J295" s="43"/>
      <c r="K295" s="43"/>
      <c r="L295" s="43"/>
      <c r="M295" s="43"/>
    </row>
    <row r="296" spans="9:13" ht="12.75" customHeight="1">
      <c r="I296" s="43"/>
      <c r="J296" s="43"/>
      <c r="K296" s="43"/>
      <c r="L296" s="43"/>
      <c r="M296" s="43"/>
    </row>
    <row r="297" spans="9:13" ht="12.75" customHeight="1">
      <c r="I297" s="43"/>
      <c r="J297" s="43"/>
      <c r="K297" s="43"/>
      <c r="L297" s="43"/>
      <c r="M297" s="43"/>
    </row>
    <row r="298" spans="9:13" ht="12.75" customHeight="1">
      <c r="I298" s="43"/>
      <c r="J298" s="43"/>
      <c r="K298" s="43"/>
      <c r="L298" s="43"/>
      <c r="M298" s="43"/>
    </row>
    <row r="299" spans="9:13" ht="12.75" customHeight="1">
      <c r="I299" s="43"/>
      <c r="J299" s="43"/>
      <c r="K299" s="43"/>
      <c r="L299" s="43"/>
      <c r="M299" s="43"/>
    </row>
    <row r="300" spans="9:13" ht="12.75" customHeight="1">
      <c r="I300" s="43"/>
      <c r="J300" s="43"/>
      <c r="K300" s="43"/>
      <c r="L300" s="43"/>
      <c r="M300" s="43"/>
    </row>
    <row r="301" spans="9:13" ht="12.75" customHeight="1">
      <c r="I301" s="43"/>
      <c r="J301" s="43"/>
      <c r="K301" s="43"/>
      <c r="L301" s="43"/>
      <c r="M301" s="43"/>
    </row>
    <row r="302" spans="9:13" ht="12.75" customHeight="1">
      <c r="I302" s="43"/>
      <c r="J302" s="43"/>
      <c r="K302" s="43"/>
      <c r="L302" s="43"/>
      <c r="M302" s="43"/>
    </row>
    <row r="303" spans="9:13" ht="12.75" customHeight="1">
      <c r="I303" s="43"/>
      <c r="J303" s="43"/>
      <c r="K303" s="43"/>
      <c r="L303" s="43"/>
      <c r="M303" s="43"/>
    </row>
    <row r="304" spans="9:13" ht="12.75" customHeight="1">
      <c r="I304" s="43"/>
      <c r="J304" s="43"/>
      <c r="K304" s="43"/>
      <c r="L304" s="43"/>
      <c r="M304" s="43"/>
    </row>
    <row r="305" spans="9:13" ht="12.75" customHeight="1">
      <c r="I305" s="43"/>
      <c r="J305" s="43"/>
      <c r="K305" s="43"/>
      <c r="L305" s="43"/>
      <c r="M305" s="43"/>
    </row>
    <row r="306" spans="9:13" ht="12.75" customHeight="1">
      <c r="I306" s="43"/>
      <c r="J306" s="43"/>
      <c r="K306" s="43"/>
      <c r="L306" s="43"/>
      <c r="M306" s="43"/>
    </row>
    <row r="307" spans="9:13" ht="12.75" customHeight="1">
      <c r="I307" s="43"/>
      <c r="J307" s="43"/>
      <c r="K307" s="43"/>
      <c r="L307" s="43"/>
      <c r="M307" s="43"/>
    </row>
    <row r="308" spans="9:13" ht="12.75" customHeight="1">
      <c r="I308" s="43"/>
      <c r="J308" s="43"/>
      <c r="K308" s="43"/>
      <c r="L308" s="43"/>
      <c r="M308" s="43"/>
    </row>
    <row r="309" spans="9:13" ht="12.75" customHeight="1">
      <c r="I309" s="43"/>
      <c r="J309" s="43"/>
      <c r="K309" s="43"/>
      <c r="L309" s="43"/>
      <c r="M309" s="43"/>
    </row>
    <row r="310" spans="9:13" ht="12.75" customHeight="1">
      <c r="I310" s="43"/>
      <c r="J310" s="43"/>
      <c r="K310" s="43"/>
      <c r="L310" s="43"/>
      <c r="M310" s="43"/>
    </row>
    <row r="311" spans="9:13" ht="12.75" customHeight="1">
      <c r="I311" s="43"/>
      <c r="J311" s="43"/>
      <c r="K311" s="43"/>
      <c r="L311" s="43"/>
      <c r="M311" s="43"/>
    </row>
    <row r="312" spans="9:13" ht="12.75" customHeight="1">
      <c r="I312" s="43"/>
      <c r="J312" s="43"/>
      <c r="K312" s="43"/>
      <c r="L312" s="43"/>
      <c r="M312" s="43"/>
    </row>
    <row r="313" spans="9:13" ht="12.75" customHeight="1">
      <c r="I313" s="43"/>
      <c r="J313" s="43"/>
      <c r="K313" s="43"/>
      <c r="L313" s="43"/>
      <c r="M313" s="43"/>
    </row>
    <row r="314" spans="9:13" ht="12.75" customHeight="1">
      <c r="I314" s="43"/>
      <c r="J314" s="43"/>
      <c r="K314" s="43"/>
      <c r="L314" s="43"/>
      <c r="M314" s="43"/>
    </row>
    <row r="315" spans="9:13" ht="12.75" customHeight="1">
      <c r="I315" s="43"/>
      <c r="J315" s="43"/>
      <c r="K315" s="43"/>
      <c r="L315" s="43"/>
      <c r="M315" s="43"/>
    </row>
    <row r="316" spans="9:13" ht="12.75" customHeight="1">
      <c r="I316" s="43"/>
      <c r="J316" s="43"/>
      <c r="K316" s="43"/>
      <c r="L316" s="43"/>
      <c r="M316" s="43"/>
    </row>
    <row r="317" spans="9:13" ht="12.75" customHeight="1">
      <c r="I317" s="43"/>
      <c r="J317" s="43"/>
      <c r="K317" s="43"/>
      <c r="L317" s="43"/>
      <c r="M317" s="43"/>
    </row>
    <row r="318" spans="9:13" ht="12.75" customHeight="1">
      <c r="I318" s="43"/>
      <c r="J318" s="43"/>
      <c r="K318" s="43"/>
      <c r="L318" s="43"/>
      <c r="M318" s="43"/>
    </row>
    <row r="319" spans="9:13" ht="12.75" customHeight="1">
      <c r="I319" s="43"/>
      <c r="J319" s="43"/>
      <c r="K319" s="43"/>
      <c r="L319" s="43"/>
      <c r="M319" s="43"/>
    </row>
    <row r="320" spans="9:13" ht="12.75" customHeight="1">
      <c r="I320" s="43"/>
      <c r="J320" s="43"/>
      <c r="K320" s="43"/>
      <c r="L320" s="43"/>
      <c r="M320" s="43"/>
    </row>
    <row r="321" spans="9:13" ht="12.75" customHeight="1">
      <c r="I321" s="43"/>
      <c r="J321" s="43"/>
      <c r="K321" s="43"/>
      <c r="L321" s="43"/>
      <c r="M321" s="43"/>
    </row>
    <row r="322" spans="9:13" ht="12.75" customHeight="1">
      <c r="I322" s="43"/>
      <c r="J322" s="43"/>
      <c r="K322" s="43"/>
      <c r="L322" s="43"/>
      <c r="M322" s="43"/>
    </row>
    <row r="323" spans="9:13" ht="12.75" customHeight="1">
      <c r="I323" s="43"/>
      <c r="J323" s="43"/>
      <c r="K323" s="43"/>
      <c r="L323" s="43"/>
      <c r="M323" s="43"/>
    </row>
    <row r="324" spans="9:13" ht="12.75" customHeight="1">
      <c r="I324" s="43"/>
      <c r="J324" s="43"/>
      <c r="K324" s="43"/>
      <c r="L324" s="43"/>
      <c r="M324" s="43"/>
    </row>
    <row r="325" spans="9:13" ht="12.75" customHeight="1">
      <c r="I325" s="43"/>
      <c r="J325" s="43"/>
      <c r="K325" s="43"/>
      <c r="L325" s="43"/>
      <c r="M325" s="43"/>
    </row>
    <row r="326" spans="9:13" ht="12.75" customHeight="1">
      <c r="I326" s="43"/>
      <c r="J326" s="43"/>
      <c r="K326" s="43"/>
      <c r="L326" s="43"/>
      <c r="M326" s="43"/>
    </row>
    <row r="327" spans="9:13" ht="12.75" customHeight="1">
      <c r="I327" s="43"/>
      <c r="J327" s="43"/>
      <c r="K327" s="43"/>
      <c r="L327" s="43"/>
      <c r="M327" s="43"/>
    </row>
    <row r="328" spans="9:13" ht="12.75" customHeight="1">
      <c r="I328" s="43"/>
      <c r="J328" s="43"/>
      <c r="K328" s="43"/>
      <c r="L328" s="43"/>
      <c r="M328" s="43"/>
    </row>
    <row r="329" spans="9:13" ht="12.75" customHeight="1">
      <c r="I329" s="43"/>
      <c r="J329" s="43"/>
      <c r="K329" s="43"/>
      <c r="L329" s="43"/>
      <c r="M329" s="43"/>
    </row>
    <row r="330" spans="9:13" ht="12.75" customHeight="1">
      <c r="I330" s="43"/>
      <c r="J330" s="43"/>
      <c r="K330" s="43"/>
      <c r="L330" s="43"/>
      <c r="M330" s="43"/>
    </row>
    <row r="331" spans="9:13" ht="12.75" customHeight="1">
      <c r="I331" s="43"/>
      <c r="J331" s="43"/>
      <c r="K331" s="43"/>
      <c r="L331" s="43"/>
      <c r="M331" s="43"/>
    </row>
    <row r="332" spans="9:13" ht="12.75" customHeight="1">
      <c r="I332" s="43"/>
      <c r="J332" s="43"/>
      <c r="K332" s="43"/>
      <c r="L332" s="43"/>
      <c r="M332" s="43"/>
    </row>
    <row r="333" spans="9:13" ht="12.75" customHeight="1">
      <c r="I333" s="43"/>
      <c r="J333" s="43"/>
      <c r="K333" s="43"/>
      <c r="L333" s="43"/>
      <c r="M333" s="43"/>
    </row>
    <row r="334" spans="9:13" ht="12.75" customHeight="1">
      <c r="I334" s="43"/>
      <c r="J334" s="43"/>
      <c r="K334" s="43"/>
      <c r="L334" s="43"/>
      <c r="M334" s="43"/>
    </row>
    <row r="335" spans="9:13" ht="12.75" customHeight="1">
      <c r="I335" s="43"/>
      <c r="J335" s="43"/>
      <c r="K335" s="43"/>
      <c r="L335" s="43"/>
      <c r="M335" s="43"/>
    </row>
    <row r="336" spans="9:13" ht="12.75" customHeight="1">
      <c r="I336" s="43"/>
      <c r="J336" s="43"/>
      <c r="K336" s="43"/>
      <c r="L336" s="43"/>
      <c r="M336" s="43"/>
    </row>
    <row r="337" spans="9:13" ht="12.75" customHeight="1">
      <c r="I337" s="43"/>
      <c r="J337" s="43"/>
      <c r="K337" s="43"/>
      <c r="L337" s="43"/>
      <c r="M337" s="43"/>
    </row>
    <row r="338" spans="9:13" ht="12.75" customHeight="1">
      <c r="I338" s="43"/>
      <c r="J338" s="43"/>
      <c r="K338" s="43"/>
      <c r="L338" s="43"/>
      <c r="M338" s="43"/>
    </row>
    <row r="339" spans="9:13" ht="12.75" customHeight="1">
      <c r="I339" s="43"/>
      <c r="J339" s="43"/>
      <c r="K339" s="43"/>
      <c r="L339" s="43"/>
      <c r="M339" s="43"/>
    </row>
    <row r="340" spans="9:13" ht="12.75" customHeight="1">
      <c r="I340" s="43"/>
      <c r="J340" s="43"/>
      <c r="K340" s="43"/>
      <c r="L340" s="43"/>
      <c r="M340" s="43"/>
    </row>
    <row r="341" spans="9:13" ht="12.75" customHeight="1">
      <c r="I341" s="43"/>
      <c r="J341" s="43"/>
      <c r="K341" s="43"/>
      <c r="L341" s="43"/>
      <c r="M341" s="43"/>
    </row>
    <row r="342" spans="9:13" ht="12.75" customHeight="1">
      <c r="I342" s="43"/>
      <c r="J342" s="43"/>
      <c r="K342" s="43"/>
      <c r="L342" s="43"/>
      <c r="M342" s="43"/>
    </row>
    <row r="343" spans="9:13" ht="12.75" customHeight="1">
      <c r="I343" s="43"/>
      <c r="J343" s="43"/>
      <c r="K343" s="43"/>
      <c r="L343" s="43"/>
      <c r="M343" s="43"/>
    </row>
    <row r="344" spans="9:13" ht="12.75" customHeight="1">
      <c r="I344" s="43"/>
      <c r="J344" s="43"/>
      <c r="K344" s="43"/>
      <c r="L344" s="43"/>
      <c r="M344" s="43"/>
    </row>
    <row r="345" spans="9:13" ht="12.75" customHeight="1">
      <c r="I345" s="43"/>
      <c r="J345" s="43"/>
      <c r="K345" s="43"/>
      <c r="L345" s="43"/>
      <c r="M345" s="43"/>
    </row>
    <row r="346" spans="9:13" ht="12.75" customHeight="1">
      <c r="I346" s="43"/>
      <c r="J346" s="43"/>
      <c r="K346" s="43"/>
      <c r="L346" s="43"/>
      <c r="M346" s="43"/>
    </row>
    <row r="347" spans="9:13" ht="12.75" customHeight="1">
      <c r="I347" s="43"/>
      <c r="J347" s="43"/>
      <c r="K347" s="43"/>
      <c r="L347" s="43"/>
      <c r="M347" s="43"/>
    </row>
    <row r="348" spans="9:13" ht="12.75" customHeight="1">
      <c r="I348" s="43"/>
      <c r="J348" s="43"/>
      <c r="K348" s="43"/>
      <c r="L348" s="43"/>
      <c r="M348" s="43"/>
    </row>
    <row r="349" spans="9:13" ht="12.75" customHeight="1">
      <c r="I349" s="43"/>
      <c r="J349" s="43"/>
      <c r="K349" s="43"/>
      <c r="L349" s="43"/>
      <c r="M349" s="43"/>
    </row>
    <row r="350" spans="9:13" ht="12.75" customHeight="1">
      <c r="I350" s="43"/>
      <c r="J350" s="43"/>
      <c r="K350" s="43"/>
      <c r="L350" s="43"/>
      <c r="M350" s="43"/>
    </row>
    <row r="351" spans="9:13" ht="12.75" customHeight="1">
      <c r="I351" s="43"/>
      <c r="J351" s="43"/>
      <c r="K351" s="43"/>
      <c r="L351" s="43"/>
      <c r="M351" s="43"/>
    </row>
    <row r="352" spans="9:13" ht="12.75" customHeight="1">
      <c r="I352" s="43"/>
      <c r="J352" s="43"/>
      <c r="K352" s="43"/>
      <c r="L352" s="43"/>
      <c r="M352" s="43"/>
    </row>
    <row r="353" spans="9:13" ht="12.75" customHeight="1">
      <c r="I353" s="43"/>
      <c r="J353" s="43"/>
      <c r="K353" s="43"/>
      <c r="L353" s="43"/>
      <c r="M353" s="43"/>
    </row>
    <row r="354" spans="9:13" ht="12.75" customHeight="1">
      <c r="I354" s="43"/>
      <c r="J354" s="43"/>
      <c r="K354" s="43"/>
      <c r="L354" s="43"/>
      <c r="M354" s="43"/>
    </row>
    <row r="355" spans="9:13" ht="12.75" customHeight="1">
      <c r="I355" s="43"/>
      <c r="J355" s="43"/>
      <c r="K355" s="43"/>
      <c r="L355" s="43"/>
      <c r="M355" s="43"/>
    </row>
    <row r="356" spans="9:13" ht="12.75" customHeight="1">
      <c r="I356" s="43"/>
      <c r="J356" s="43"/>
      <c r="K356" s="43"/>
      <c r="L356" s="43"/>
      <c r="M356" s="43"/>
    </row>
    <row r="357" spans="9:13" ht="12.75" customHeight="1">
      <c r="I357" s="43"/>
      <c r="J357" s="43"/>
      <c r="K357" s="43"/>
      <c r="L357" s="43"/>
      <c r="M357" s="43"/>
    </row>
    <row r="358" spans="9:13" ht="12.75" customHeight="1">
      <c r="I358" s="43"/>
      <c r="J358" s="43"/>
      <c r="K358" s="43"/>
      <c r="L358" s="43"/>
      <c r="M358" s="43"/>
    </row>
    <row r="359" spans="9:13" ht="12.75" customHeight="1">
      <c r="I359" s="43"/>
      <c r="J359" s="43"/>
      <c r="K359" s="43"/>
      <c r="L359" s="43"/>
      <c r="M359" s="43"/>
    </row>
    <row r="360" spans="9:13" ht="12.75" customHeight="1">
      <c r="I360" s="43"/>
      <c r="J360" s="43"/>
      <c r="K360" s="43"/>
      <c r="L360" s="43"/>
      <c r="M360" s="43"/>
    </row>
    <row r="361" spans="9:13" ht="12.75" customHeight="1">
      <c r="I361" s="43"/>
      <c r="J361" s="43"/>
      <c r="K361" s="43"/>
      <c r="L361" s="43"/>
      <c r="M361" s="43"/>
    </row>
    <row r="362" spans="9:13" ht="12.75" customHeight="1">
      <c r="I362" s="43"/>
      <c r="J362" s="43"/>
      <c r="K362" s="43"/>
      <c r="L362" s="43"/>
      <c r="M362" s="43"/>
    </row>
    <row r="363" spans="9:13" ht="12.75" customHeight="1">
      <c r="I363" s="43"/>
      <c r="J363" s="43"/>
      <c r="K363" s="43"/>
      <c r="L363" s="43"/>
      <c r="M363" s="43"/>
    </row>
    <row r="364" spans="9:13" ht="12.75" customHeight="1">
      <c r="I364" s="43"/>
      <c r="J364" s="43"/>
      <c r="K364" s="43"/>
      <c r="L364" s="43"/>
      <c r="M364" s="43"/>
    </row>
    <row r="365" spans="9:13" ht="12.75" customHeight="1">
      <c r="I365" s="43"/>
      <c r="J365" s="43"/>
      <c r="K365" s="43"/>
      <c r="L365" s="43"/>
      <c r="M365" s="43"/>
    </row>
    <row r="366" spans="9:13" ht="12.75" customHeight="1">
      <c r="I366" s="43"/>
      <c r="J366" s="43"/>
      <c r="K366" s="43"/>
      <c r="L366" s="43"/>
      <c r="M366" s="43"/>
    </row>
    <row r="367" spans="9:13" ht="12.75" customHeight="1">
      <c r="I367" s="43"/>
      <c r="J367" s="43"/>
      <c r="K367" s="43"/>
      <c r="L367" s="43"/>
      <c r="M367" s="43"/>
    </row>
    <row r="368" spans="9:13" ht="12.75" customHeight="1">
      <c r="I368" s="43"/>
      <c r="J368" s="43"/>
      <c r="K368" s="43"/>
      <c r="L368" s="43"/>
      <c r="M368" s="43"/>
    </row>
    <row r="369" spans="9:13" ht="12.75" customHeight="1">
      <c r="I369" s="43"/>
      <c r="J369" s="43"/>
      <c r="K369" s="43"/>
      <c r="L369" s="43"/>
      <c r="M369" s="43"/>
    </row>
    <row r="370" spans="9:13" ht="12.75" customHeight="1">
      <c r="I370" s="43"/>
      <c r="J370" s="43"/>
      <c r="K370" s="43"/>
      <c r="L370" s="43"/>
      <c r="M370" s="43"/>
    </row>
    <row r="371" spans="9:13" ht="12.75" customHeight="1">
      <c r="I371" s="43"/>
      <c r="J371" s="43"/>
      <c r="K371" s="43"/>
      <c r="L371" s="43"/>
      <c r="M371" s="43"/>
    </row>
    <row r="372" spans="9:13" ht="12.75" customHeight="1">
      <c r="I372" s="43"/>
      <c r="J372" s="43"/>
      <c r="K372" s="43"/>
      <c r="L372" s="43"/>
      <c r="M372" s="43"/>
    </row>
    <row r="373" spans="9:13" ht="12.75" customHeight="1">
      <c r="I373" s="43"/>
      <c r="J373" s="43"/>
      <c r="K373" s="43"/>
      <c r="L373" s="43"/>
      <c r="M373" s="43"/>
    </row>
    <row r="374" spans="9:13" ht="12.75" customHeight="1">
      <c r="I374" s="43"/>
      <c r="J374" s="43"/>
      <c r="K374" s="43"/>
      <c r="L374" s="43"/>
      <c r="M374" s="43"/>
    </row>
    <row r="375" spans="9:13" ht="12.75" customHeight="1">
      <c r="I375" s="43"/>
      <c r="J375" s="43"/>
      <c r="K375" s="43"/>
      <c r="L375" s="43"/>
      <c r="M375" s="43"/>
    </row>
    <row r="376" spans="9:13" ht="12.75" customHeight="1">
      <c r="I376" s="43"/>
      <c r="J376" s="43"/>
      <c r="K376" s="43"/>
      <c r="L376" s="43"/>
      <c r="M376" s="43"/>
    </row>
    <row r="377" spans="9:13" ht="12.75" customHeight="1">
      <c r="I377" s="43"/>
      <c r="J377" s="43"/>
      <c r="K377" s="43"/>
      <c r="L377" s="43"/>
      <c r="M377" s="43"/>
    </row>
    <row r="378" spans="9:13" ht="12.75" customHeight="1">
      <c r="I378" s="43"/>
      <c r="J378" s="43"/>
      <c r="K378" s="43"/>
      <c r="L378" s="43"/>
      <c r="M378" s="43"/>
    </row>
    <row r="379" spans="9:13" ht="12.75" customHeight="1">
      <c r="I379" s="43"/>
      <c r="J379" s="43"/>
      <c r="K379" s="43"/>
      <c r="L379" s="43"/>
      <c r="M379" s="43"/>
    </row>
    <row r="380" spans="9:13" ht="12.75" customHeight="1">
      <c r="I380" s="43"/>
      <c r="J380" s="43"/>
      <c r="K380" s="43"/>
      <c r="L380" s="43"/>
      <c r="M380" s="43"/>
    </row>
    <row r="381" spans="9:13" ht="12.75" customHeight="1">
      <c r="I381" s="43"/>
      <c r="J381" s="43"/>
      <c r="K381" s="43"/>
      <c r="L381" s="43"/>
      <c r="M381" s="43"/>
    </row>
    <row r="382" spans="9:13" ht="12.75" customHeight="1">
      <c r="I382" s="43"/>
      <c r="J382" s="43"/>
      <c r="K382" s="43"/>
      <c r="L382" s="43"/>
      <c r="M382" s="43"/>
    </row>
    <row r="383" spans="9:13" ht="12.75" customHeight="1">
      <c r="I383" s="43"/>
      <c r="J383" s="43"/>
      <c r="K383" s="43"/>
      <c r="L383" s="43"/>
      <c r="M383" s="43"/>
    </row>
    <row r="384" spans="9:13" ht="12.75" customHeight="1">
      <c r="I384" s="43"/>
      <c r="J384" s="43"/>
      <c r="K384" s="43"/>
      <c r="L384" s="43"/>
      <c r="M384" s="43"/>
    </row>
    <row r="385" spans="9:13" ht="12.75" customHeight="1">
      <c r="I385" s="43"/>
      <c r="J385" s="43"/>
      <c r="K385" s="43"/>
      <c r="L385" s="43"/>
      <c r="M385" s="43"/>
    </row>
    <row r="386" spans="9:13" ht="12.75" customHeight="1">
      <c r="I386" s="43"/>
      <c r="J386" s="43"/>
      <c r="K386" s="43"/>
      <c r="L386" s="43"/>
      <c r="M386" s="43"/>
    </row>
    <row r="387" spans="9:13" ht="12.75" customHeight="1">
      <c r="I387" s="43"/>
      <c r="J387" s="43"/>
      <c r="K387" s="43"/>
      <c r="L387" s="43"/>
      <c r="M387" s="43"/>
    </row>
    <row r="388" spans="9:13" ht="12.75" customHeight="1">
      <c r="I388" s="43"/>
      <c r="J388" s="43"/>
      <c r="K388" s="43"/>
      <c r="L388" s="43"/>
      <c r="M388" s="43"/>
    </row>
    <row r="389" spans="9:13" ht="12.75" customHeight="1">
      <c r="I389" s="43"/>
      <c r="J389" s="43"/>
      <c r="K389" s="43"/>
      <c r="L389" s="43"/>
      <c r="M389" s="43"/>
    </row>
    <row r="390" spans="9:13" ht="12.75" customHeight="1">
      <c r="I390" s="43"/>
      <c r="J390" s="43"/>
      <c r="K390" s="43"/>
      <c r="L390" s="43"/>
      <c r="M390" s="43"/>
    </row>
    <row r="391" spans="9:13" ht="12.75" customHeight="1">
      <c r="I391" s="43"/>
      <c r="J391" s="43"/>
      <c r="K391" s="43"/>
      <c r="L391" s="43"/>
      <c r="M391" s="43"/>
    </row>
    <row r="392" spans="9:13" ht="12.75" customHeight="1">
      <c r="I392" s="43"/>
      <c r="J392" s="43"/>
      <c r="K392" s="43"/>
      <c r="L392" s="43"/>
      <c r="M392" s="43"/>
    </row>
    <row r="393" spans="9:13" ht="12.75" customHeight="1">
      <c r="I393" s="43"/>
      <c r="J393" s="43"/>
      <c r="K393" s="43"/>
      <c r="L393" s="43"/>
      <c r="M393" s="43"/>
    </row>
    <row r="394" spans="9:13" ht="12.75" customHeight="1">
      <c r="I394" s="43"/>
      <c r="J394" s="43"/>
      <c r="K394" s="43"/>
      <c r="L394" s="43"/>
      <c r="M394" s="43"/>
    </row>
    <row r="395" spans="9:13" ht="12.75" customHeight="1">
      <c r="I395" s="43"/>
      <c r="J395" s="43"/>
      <c r="K395" s="43"/>
      <c r="L395" s="43"/>
      <c r="M395" s="43"/>
    </row>
    <row r="396" spans="9:13" ht="12.75" customHeight="1">
      <c r="I396" s="43"/>
      <c r="J396" s="43"/>
      <c r="K396" s="43"/>
      <c r="L396" s="43"/>
      <c r="M396" s="43"/>
    </row>
    <row r="397" spans="9:13" ht="12.75" customHeight="1">
      <c r="I397" s="43"/>
      <c r="J397" s="43"/>
      <c r="K397" s="43"/>
      <c r="L397" s="43"/>
      <c r="M397" s="43"/>
    </row>
    <row r="398" spans="9:13" ht="12.75" customHeight="1">
      <c r="I398" s="43"/>
      <c r="J398" s="43"/>
      <c r="K398" s="43"/>
      <c r="L398" s="43"/>
      <c r="M398" s="43"/>
    </row>
  </sheetData>
  <mergeCells count="504">
    <mergeCell ref="A113:H113"/>
    <mergeCell ref="A114:B114"/>
    <mergeCell ref="A115:B115"/>
    <mergeCell ref="A116:B116"/>
    <mergeCell ref="A117:B117"/>
    <mergeCell ref="O74:O75"/>
    <mergeCell ref="C85:H85"/>
    <mergeCell ref="B5:B6"/>
    <mergeCell ref="B7:B8"/>
    <mergeCell ref="B9:B10"/>
    <mergeCell ref="B11:B12"/>
    <mergeCell ref="B13:B14"/>
    <mergeCell ref="B15:B16"/>
    <mergeCell ref="B17:B18"/>
    <mergeCell ref="B19:B20"/>
    <mergeCell ref="O66:O67"/>
    <mergeCell ref="O68:O69"/>
    <mergeCell ref="O70:O71"/>
    <mergeCell ref="O36:O37"/>
    <mergeCell ref="O38:O39"/>
    <mergeCell ref="O40:O41"/>
    <mergeCell ref="O42:O43"/>
    <mergeCell ref="C19:C20"/>
    <mergeCell ref="F19:F20"/>
    <mergeCell ref="O72:O73"/>
    <mergeCell ref="O44:O45"/>
    <mergeCell ref="O46:O47"/>
    <mergeCell ref="O62:O63"/>
    <mergeCell ref="O64:O65"/>
    <mergeCell ref="O14:O15"/>
    <mergeCell ref="O16:O17"/>
    <mergeCell ref="O18:O19"/>
    <mergeCell ref="O34:O35"/>
    <mergeCell ref="O6:O7"/>
    <mergeCell ref="O8:O9"/>
    <mergeCell ref="O10:O11"/>
    <mergeCell ref="O12:O13"/>
    <mergeCell ref="C13:C14"/>
    <mergeCell ref="D5:D6"/>
    <mergeCell ref="D7:D8"/>
    <mergeCell ref="D9:D10"/>
    <mergeCell ref="D11:D12"/>
    <mergeCell ref="D13:D14"/>
    <mergeCell ref="C5:C6"/>
    <mergeCell ref="C7:C8"/>
    <mergeCell ref="C9:C10"/>
    <mergeCell ref="C11:C12"/>
    <mergeCell ref="E13:E14"/>
    <mergeCell ref="F5:F6"/>
    <mergeCell ref="F7:F8"/>
    <mergeCell ref="F9:F10"/>
    <mergeCell ref="F11:F12"/>
    <mergeCell ref="F13:F14"/>
    <mergeCell ref="E5:E6"/>
    <mergeCell ref="E7:E8"/>
    <mergeCell ref="E9:E10"/>
    <mergeCell ref="E11:E12"/>
    <mergeCell ref="G13:G14"/>
    <mergeCell ref="H5:H6"/>
    <mergeCell ref="H7:H8"/>
    <mergeCell ref="H9:H10"/>
    <mergeCell ref="H11:H12"/>
    <mergeCell ref="H13:H14"/>
    <mergeCell ref="G5:G6"/>
    <mergeCell ref="G7:G8"/>
    <mergeCell ref="G9:G10"/>
    <mergeCell ref="G11:G12"/>
    <mergeCell ref="I13:I14"/>
    <mergeCell ref="J5:J6"/>
    <mergeCell ref="J7:J8"/>
    <mergeCell ref="J9:J10"/>
    <mergeCell ref="J11:J12"/>
    <mergeCell ref="J13:J14"/>
    <mergeCell ref="I5:I6"/>
    <mergeCell ref="I7:I8"/>
    <mergeCell ref="I9:I10"/>
    <mergeCell ref="I11:I12"/>
    <mergeCell ref="C15:C16"/>
    <mergeCell ref="C17:C18"/>
    <mergeCell ref="D15:D16"/>
    <mergeCell ref="D17:D18"/>
    <mergeCell ref="E15:E16"/>
    <mergeCell ref="E17:E18"/>
    <mergeCell ref="F15:F16"/>
    <mergeCell ref="F17:F18"/>
    <mergeCell ref="I17:I18"/>
    <mergeCell ref="J15:J16"/>
    <mergeCell ref="J17:J18"/>
    <mergeCell ref="G15:G16"/>
    <mergeCell ref="G17:G18"/>
    <mergeCell ref="H15:H16"/>
    <mergeCell ref="H17:H18"/>
    <mergeCell ref="I15:I16"/>
    <mergeCell ref="N6:N7"/>
    <mergeCell ref="L7:L8"/>
    <mergeCell ref="N8:N9"/>
    <mergeCell ref="K5:K6"/>
    <mergeCell ref="K7:K8"/>
    <mergeCell ref="L5:L6"/>
    <mergeCell ref="K9:K10"/>
    <mergeCell ref="N10:N11"/>
    <mergeCell ref="K11:K12"/>
    <mergeCell ref="N12:N13"/>
    <mergeCell ref="L9:L10"/>
    <mergeCell ref="L11:L12"/>
    <mergeCell ref="L13:L14"/>
    <mergeCell ref="L15:L16"/>
    <mergeCell ref="M5:M6"/>
    <mergeCell ref="M7:M8"/>
    <mergeCell ref="M9:M10"/>
    <mergeCell ref="M11:M12"/>
    <mergeCell ref="L17:L18"/>
    <mergeCell ref="K17:K18"/>
    <mergeCell ref="N14:N15"/>
    <mergeCell ref="N16:N17"/>
    <mergeCell ref="M13:M14"/>
    <mergeCell ref="M15:M16"/>
    <mergeCell ref="M17:M18"/>
    <mergeCell ref="N18:N19"/>
    <mergeCell ref="K13:K14"/>
    <mergeCell ref="K15:K16"/>
    <mergeCell ref="C21:C22"/>
    <mergeCell ref="D19:D20"/>
    <mergeCell ref="D21:D22"/>
    <mergeCell ref="E19:E20"/>
    <mergeCell ref="E21:E22"/>
    <mergeCell ref="F21:F22"/>
    <mergeCell ref="G19:G20"/>
    <mergeCell ref="G21:G22"/>
    <mergeCell ref="H19:H20"/>
    <mergeCell ref="H21:H22"/>
    <mergeCell ref="I21:I22"/>
    <mergeCell ref="K23:K24"/>
    <mergeCell ref="J21:J22"/>
    <mergeCell ref="K19:K20"/>
    <mergeCell ref="K21:K22"/>
    <mergeCell ref="I19:I20"/>
    <mergeCell ref="J19:J20"/>
    <mergeCell ref="G23:G24"/>
    <mergeCell ref="H23:H24"/>
    <mergeCell ref="I23:I24"/>
    <mergeCell ref="J23:J24"/>
    <mergeCell ref="C23:C24"/>
    <mergeCell ref="D23:D24"/>
    <mergeCell ref="E23:E24"/>
    <mergeCell ref="F23:F24"/>
    <mergeCell ref="L23:L24"/>
    <mergeCell ref="M23:M24"/>
    <mergeCell ref="N22:N23"/>
    <mergeCell ref="L21:L22"/>
    <mergeCell ref="N20:N21"/>
    <mergeCell ref="M19:M20"/>
    <mergeCell ref="M21:M22"/>
    <mergeCell ref="L19:L20"/>
    <mergeCell ref="C33:C34"/>
    <mergeCell ref="D33:D34"/>
    <mergeCell ref="E33:E34"/>
    <mergeCell ref="F33:F34"/>
    <mergeCell ref="G33:G34"/>
    <mergeCell ref="H33:H34"/>
    <mergeCell ref="I33:I34"/>
    <mergeCell ref="J33:J34"/>
    <mergeCell ref="K33:K34"/>
    <mergeCell ref="L33:L34"/>
    <mergeCell ref="M33:M34"/>
    <mergeCell ref="N34:N35"/>
    <mergeCell ref="K35:K36"/>
    <mergeCell ref="L35:L36"/>
    <mergeCell ref="M35:M36"/>
    <mergeCell ref="N36:N37"/>
    <mergeCell ref="K37:K38"/>
    <mergeCell ref="L37:L38"/>
    <mergeCell ref="C35:C36"/>
    <mergeCell ref="D35:D36"/>
    <mergeCell ref="E35:E36"/>
    <mergeCell ref="F35:F36"/>
    <mergeCell ref="G35:G36"/>
    <mergeCell ref="H35:H36"/>
    <mergeCell ref="I35:I36"/>
    <mergeCell ref="J35:J36"/>
    <mergeCell ref="C37:C38"/>
    <mergeCell ref="D37:D38"/>
    <mergeCell ref="E37:E38"/>
    <mergeCell ref="F37:F38"/>
    <mergeCell ref="G37:G38"/>
    <mergeCell ref="H37:H38"/>
    <mergeCell ref="I37:I38"/>
    <mergeCell ref="J37:J38"/>
    <mergeCell ref="M37:M38"/>
    <mergeCell ref="N38:N39"/>
    <mergeCell ref="C39:C40"/>
    <mergeCell ref="D39:D40"/>
    <mergeCell ref="E39:E40"/>
    <mergeCell ref="F39:F40"/>
    <mergeCell ref="G39:G40"/>
    <mergeCell ref="H39:H40"/>
    <mergeCell ref="I39:I40"/>
    <mergeCell ref="J39:J40"/>
    <mergeCell ref="K39:K40"/>
    <mergeCell ref="L39:L40"/>
    <mergeCell ref="M39:M40"/>
    <mergeCell ref="N40:N41"/>
    <mergeCell ref="K41:K42"/>
    <mergeCell ref="L41:L42"/>
    <mergeCell ref="M41:M42"/>
    <mergeCell ref="N42:N43"/>
    <mergeCell ref="K43:K44"/>
    <mergeCell ref="L43:L44"/>
    <mergeCell ref="C41:C42"/>
    <mergeCell ref="D41:D42"/>
    <mergeCell ref="E41:E42"/>
    <mergeCell ref="F41:F42"/>
    <mergeCell ref="G41:G42"/>
    <mergeCell ref="H41:H42"/>
    <mergeCell ref="I41:I42"/>
    <mergeCell ref="J41:J42"/>
    <mergeCell ref="C43:C44"/>
    <mergeCell ref="D43:D44"/>
    <mergeCell ref="E43:E44"/>
    <mergeCell ref="F43:F44"/>
    <mergeCell ref="G43:G44"/>
    <mergeCell ref="H43:H44"/>
    <mergeCell ref="I43:I44"/>
    <mergeCell ref="J43:J44"/>
    <mergeCell ref="M43:M44"/>
    <mergeCell ref="N44:N45"/>
    <mergeCell ref="C45:C46"/>
    <mergeCell ref="D45:D46"/>
    <mergeCell ref="E45:E46"/>
    <mergeCell ref="F45:F46"/>
    <mergeCell ref="G45:G46"/>
    <mergeCell ref="H45:H46"/>
    <mergeCell ref="I45:I46"/>
    <mergeCell ref="J45:J46"/>
    <mergeCell ref="K45:K46"/>
    <mergeCell ref="L45:L46"/>
    <mergeCell ref="M45:M46"/>
    <mergeCell ref="N46:N47"/>
    <mergeCell ref="K47:K48"/>
    <mergeCell ref="L47:L48"/>
    <mergeCell ref="M47:M48"/>
    <mergeCell ref="N48:N49"/>
    <mergeCell ref="K49:K50"/>
    <mergeCell ref="L49:L50"/>
    <mergeCell ref="C47:C48"/>
    <mergeCell ref="D47:D48"/>
    <mergeCell ref="E47:E48"/>
    <mergeCell ref="F47:F48"/>
    <mergeCell ref="G47:G48"/>
    <mergeCell ref="H47:H48"/>
    <mergeCell ref="I47:I48"/>
    <mergeCell ref="J47:J48"/>
    <mergeCell ref="C49:C50"/>
    <mergeCell ref="D49:D50"/>
    <mergeCell ref="E49:E50"/>
    <mergeCell ref="F49:F50"/>
    <mergeCell ref="G49:G50"/>
    <mergeCell ref="H49:H50"/>
    <mergeCell ref="I49:I50"/>
    <mergeCell ref="J49:J50"/>
    <mergeCell ref="M49:M50"/>
    <mergeCell ref="N50:N51"/>
    <mergeCell ref="C51:C52"/>
    <mergeCell ref="D51:D52"/>
    <mergeCell ref="E51:E52"/>
    <mergeCell ref="F51:F52"/>
    <mergeCell ref="G51:G52"/>
    <mergeCell ref="H51:H52"/>
    <mergeCell ref="I51:I52"/>
    <mergeCell ref="J51:J52"/>
    <mergeCell ref="K51:K52"/>
    <mergeCell ref="L51:L52"/>
    <mergeCell ref="M51:M52"/>
    <mergeCell ref="C61:C62"/>
    <mergeCell ref="D61:D62"/>
    <mergeCell ref="E61:E62"/>
    <mergeCell ref="F61:F62"/>
    <mergeCell ref="G61:G62"/>
    <mergeCell ref="H61:H62"/>
    <mergeCell ref="I61:I62"/>
    <mergeCell ref="J61:J62"/>
    <mergeCell ref="K61:K62"/>
    <mergeCell ref="L61:L62"/>
    <mergeCell ref="M61:M62"/>
    <mergeCell ref="N62:N63"/>
    <mergeCell ref="C63:C64"/>
    <mergeCell ref="D63:D64"/>
    <mergeCell ref="E63:E64"/>
    <mergeCell ref="F63:F64"/>
    <mergeCell ref="G63:G64"/>
    <mergeCell ref="H63:H64"/>
    <mergeCell ref="I63:I64"/>
    <mergeCell ref="J63:J64"/>
    <mergeCell ref="K63:K64"/>
    <mergeCell ref="L63:L64"/>
    <mergeCell ref="M63:M64"/>
    <mergeCell ref="N64:N65"/>
    <mergeCell ref="C65:C66"/>
    <mergeCell ref="D65:D66"/>
    <mergeCell ref="E65:E66"/>
    <mergeCell ref="F65:F66"/>
    <mergeCell ref="G65:G66"/>
    <mergeCell ref="H65:H66"/>
    <mergeCell ref="I65:I66"/>
    <mergeCell ref="J65:J66"/>
    <mergeCell ref="K65:K66"/>
    <mergeCell ref="L65:L66"/>
    <mergeCell ref="M65:M66"/>
    <mergeCell ref="N66:N67"/>
    <mergeCell ref="C67:C68"/>
    <mergeCell ref="D67:D68"/>
    <mergeCell ref="E67:E68"/>
    <mergeCell ref="F67:F68"/>
    <mergeCell ref="G67:G68"/>
    <mergeCell ref="H67:H68"/>
    <mergeCell ref="I67:I68"/>
    <mergeCell ref="J67:J68"/>
    <mergeCell ref="K67:K68"/>
    <mergeCell ref="L67:L68"/>
    <mergeCell ref="M67:M68"/>
    <mergeCell ref="N68:N69"/>
    <mergeCell ref="C69:C70"/>
    <mergeCell ref="D69:D70"/>
    <mergeCell ref="E69:E70"/>
    <mergeCell ref="F69:F70"/>
    <mergeCell ref="G69:G70"/>
    <mergeCell ref="H69:H70"/>
    <mergeCell ref="I69:I70"/>
    <mergeCell ref="J69:J70"/>
    <mergeCell ref="K69:K70"/>
    <mergeCell ref="L69:L70"/>
    <mergeCell ref="M69:M70"/>
    <mergeCell ref="N70:N71"/>
    <mergeCell ref="C71:C72"/>
    <mergeCell ref="D71:D72"/>
    <mergeCell ref="E71:E72"/>
    <mergeCell ref="F71:F72"/>
    <mergeCell ref="G71:G72"/>
    <mergeCell ref="H71:H72"/>
    <mergeCell ref="I71:I72"/>
    <mergeCell ref="J71:J72"/>
    <mergeCell ref="K71:K72"/>
    <mergeCell ref="L71:L72"/>
    <mergeCell ref="M71:M72"/>
    <mergeCell ref="N72:N73"/>
    <mergeCell ref="C73:C74"/>
    <mergeCell ref="D73:D74"/>
    <mergeCell ref="E73:E74"/>
    <mergeCell ref="F73:F74"/>
    <mergeCell ref="G73:G74"/>
    <mergeCell ref="H73:H74"/>
    <mergeCell ref="I73:I74"/>
    <mergeCell ref="J73:J74"/>
    <mergeCell ref="K73:K74"/>
    <mergeCell ref="L73:L74"/>
    <mergeCell ref="M73:M74"/>
    <mergeCell ref="N74:N75"/>
    <mergeCell ref="C75:C76"/>
    <mergeCell ref="D75:D76"/>
    <mergeCell ref="E75:E76"/>
    <mergeCell ref="F75:F76"/>
    <mergeCell ref="G75:G76"/>
    <mergeCell ref="H75:H76"/>
    <mergeCell ref="I75:I76"/>
    <mergeCell ref="J75:J76"/>
    <mergeCell ref="K75:K76"/>
    <mergeCell ref="L75:L76"/>
    <mergeCell ref="M75:M76"/>
    <mergeCell ref="N76:N77"/>
    <mergeCell ref="C77:C78"/>
    <mergeCell ref="D77:D78"/>
    <mergeCell ref="E77:E78"/>
    <mergeCell ref="F77:F78"/>
    <mergeCell ref="G77:G78"/>
    <mergeCell ref="H77:H78"/>
    <mergeCell ref="I77:I78"/>
    <mergeCell ref="J77:J78"/>
    <mergeCell ref="K77:K78"/>
    <mergeCell ref="L77:L78"/>
    <mergeCell ref="M77:M78"/>
    <mergeCell ref="N78:N79"/>
    <mergeCell ref="C79:C80"/>
    <mergeCell ref="D79:D80"/>
    <mergeCell ref="E79:E80"/>
    <mergeCell ref="F79:F80"/>
    <mergeCell ref="G79:G80"/>
    <mergeCell ref="H79:H80"/>
    <mergeCell ref="I79:I80"/>
    <mergeCell ref="J79:J80"/>
    <mergeCell ref="K79:K80"/>
    <mergeCell ref="L79:L80"/>
    <mergeCell ref="M79:M80"/>
    <mergeCell ref="C88:C89"/>
    <mergeCell ref="D88:D89"/>
    <mergeCell ref="E88:E89"/>
    <mergeCell ref="F88:F89"/>
    <mergeCell ref="G88:G89"/>
    <mergeCell ref="H88:H89"/>
    <mergeCell ref="B33:B34"/>
    <mergeCell ref="B35:B36"/>
    <mergeCell ref="B37:B38"/>
    <mergeCell ref="B39:B40"/>
    <mergeCell ref="C102:C103"/>
    <mergeCell ref="C104:C105"/>
    <mergeCell ref="C90:C91"/>
    <mergeCell ref="C92:C93"/>
    <mergeCell ref="C94:C95"/>
    <mergeCell ref="C96:C97"/>
    <mergeCell ref="C106:C107"/>
    <mergeCell ref="C108:C109"/>
    <mergeCell ref="C110:C111"/>
    <mergeCell ref="B41:B42"/>
    <mergeCell ref="B43:B44"/>
    <mergeCell ref="B45:B46"/>
    <mergeCell ref="B47:B48"/>
    <mergeCell ref="B61:B62"/>
    <mergeCell ref="B63:B64"/>
    <mergeCell ref="B65:B66"/>
    <mergeCell ref="B67:B68"/>
    <mergeCell ref="B69:B70"/>
    <mergeCell ref="B71:B72"/>
    <mergeCell ref="B73:B74"/>
    <mergeCell ref="B75:B76"/>
    <mergeCell ref="D98:D99"/>
    <mergeCell ref="D100:D101"/>
    <mergeCell ref="D102:D103"/>
    <mergeCell ref="D90:D91"/>
    <mergeCell ref="D92:D93"/>
    <mergeCell ref="D94:D95"/>
    <mergeCell ref="D96:D97"/>
    <mergeCell ref="C98:C99"/>
    <mergeCell ref="C100:C101"/>
    <mergeCell ref="D104:D105"/>
    <mergeCell ref="D106:D107"/>
    <mergeCell ref="D108:D109"/>
    <mergeCell ref="D110:D111"/>
    <mergeCell ref="E90:E91"/>
    <mergeCell ref="E92:E93"/>
    <mergeCell ref="E94:E95"/>
    <mergeCell ref="E96:E97"/>
    <mergeCell ref="E98:E99"/>
    <mergeCell ref="E100:E101"/>
    <mergeCell ref="E102:E103"/>
    <mergeCell ref="E104:E105"/>
    <mergeCell ref="E106:E107"/>
    <mergeCell ref="E108:E109"/>
    <mergeCell ref="E110:E111"/>
    <mergeCell ref="F90:F91"/>
    <mergeCell ref="F92:F93"/>
    <mergeCell ref="F94:F95"/>
    <mergeCell ref="F96:F97"/>
    <mergeCell ref="F98:F99"/>
    <mergeCell ref="F100:F101"/>
    <mergeCell ref="F102:F103"/>
    <mergeCell ref="F104:F105"/>
    <mergeCell ref="F106:F107"/>
    <mergeCell ref="F108:F109"/>
    <mergeCell ref="F110:F111"/>
    <mergeCell ref="G90:G91"/>
    <mergeCell ref="G92:G93"/>
    <mergeCell ref="G94:G95"/>
    <mergeCell ref="G96:G97"/>
    <mergeCell ref="G98:G99"/>
    <mergeCell ref="G100:G101"/>
    <mergeCell ref="G102:G103"/>
    <mergeCell ref="G104:G105"/>
    <mergeCell ref="G106:G107"/>
    <mergeCell ref="G108:G109"/>
    <mergeCell ref="G110:G111"/>
    <mergeCell ref="H90:H91"/>
    <mergeCell ref="H92:H93"/>
    <mergeCell ref="H94:H95"/>
    <mergeCell ref="H96:H97"/>
    <mergeCell ref="H98:H99"/>
    <mergeCell ref="H100:H101"/>
    <mergeCell ref="H102:H103"/>
    <mergeCell ref="H104:H105"/>
    <mergeCell ref="H106:H107"/>
    <mergeCell ref="H108:H109"/>
    <mergeCell ref="H110:H111"/>
    <mergeCell ref="A5:A6"/>
    <mergeCell ref="A7:A8"/>
    <mergeCell ref="A9:A10"/>
    <mergeCell ref="A11:A12"/>
    <mergeCell ref="A13:A14"/>
    <mergeCell ref="A15:A16"/>
    <mergeCell ref="A17:A18"/>
    <mergeCell ref="A19:A20"/>
    <mergeCell ref="A33:A34"/>
    <mergeCell ref="A35:A36"/>
    <mergeCell ref="A37:A38"/>
    <mergeCell ref="A39:A40"/>
    <mergeCell ref="A41:A42"/>
    <mergeCell ref="A43:A44"/>
    <mergeCell ref="A45:A46"/>
    <mergeCell ref="A47:A48"/>
    <mergeCell ref="A61:A62"/>
    <mergeCell ref="A63:A64"/>
    <mergeCell ref="A65:A66"/>
    <mergeCell ref="A67:A68"/>
    <mergeCell ref="A69:A70"/>
    <mergeCell ref="A71:A72"/>
    <mergeCell ref="A73:A74"/>
    <mergeCell ref="A75:A76"/>
  </mergeCells>
  <printOptions/>
  <pageMargins left="0.75" right="0.75" top="1" bottom="1" header="0" footer="0"/>
  <pageSetup fitToHeight="1" fitToWidth="1" horizontalDpi="300" verticalDpi="300" orientation="portrait" paperSize="9" scale="42" r:id="rId3"/>
  <legacyDrawing r:id="rId2"/>
</worksheet>
</file>

<file path=xl/worksheets/sheet4.xml><?xml version="1.0" encoding="utf-8"?>
<worksheet xmlns="http://schemas.openxmlformats.org/spreadsheetml/2006/main" xmlns:r="http://schemas.openxmlformats.org/officeDocument/2006/relationships">
  <dimension ref="A1:I25"/>
  <sheetViews>
    <sheetView zoomScale="140" zoomScaleNormal="140" workbookViewId="0" topLeftCell="A1">
      <selection activeCell="G1" sqref="G1"/>
    </sheetView>
  </sheetViews>
  <sheetFormatPr defaultColWidth="9.140625" defaultRowHeight="12.75"/>
  <cols>
    <col min="3" max="3" width="14.7109375" style="0" customWidth="1"/>
    <col min="4" max="4" width="13.421875" style="0" customWidth="1"/>
    <col min="5" max="5" width="16.8515625" style="0" hidden="1" customWidth="1"/>
    <col min="6" max="6" width="16.28125" style="0" customWidth="1"/>
    <col min="7" max="7" width="13.8515625" style="0" customWidth="1"/>
    <col min="8" max="8" width="10.8515625" style="0" bestFit="1" customWidth="1"/>
    <col min="9" max="9" width="15.140625" style="0" bestFit="1" customWidth="1"/>
    <col min="10" max="10" width="12.421875" style="0" customWidth="1"/>
    <col min="11" max="11" width="12.140625" style="0" customWidth="1"/>
  </cols>
  <sheetData>
    <row r="1" spans="1:9" ht="26.25" thickBot="1">
      <c r="A1" s="22"/>
      <c r="B1" s="22" t="s">
        <v>31</v>
      </c>
      <c r="C1" s="48" t="str">
        <f>'Prisoptimering (1.3)'!N4</f>
        <v>Differensbidrag pr. liter</v>
      </c>
      <c r="D1" s="48" t="s">
        <v>36</v>
      </c>
      <c r="E1" s="46" t="s">
        <v>34</v>
      </c>
      <c r="F1" s="22" t="s">
        <v>35</v>
      </c>
      <c r="G1" s="22" t="s">
        <v>31</v>
      </c>
      <c r="H1" s="47" t="str">
        <f>D1</f>
        <v>Ekstra timeforbrug</v>
      </c>
      <c r="I1" s="54" t="s">
        <v>42</v>
      </c>
    </row>
    <row r="2" spans="1:9" ht="12.75">
      <c r="A2" s="24">
        <v>1</v>
      </c>
      <c r="B2" s="25" t="str">
        <f>CONCATENATE(1," ",'Prisoptimering (1.3)'!$D$2)</f>
        <v>1 Top</v>
      </c>
      <c r="C2" s="69">
        <f>'Prisoptimering (1.3)'!N5</f>
        <v>18</v>
      </c>
      <c r="D2" s="40">
        <f>'Prisoptimering (1.3)'!O5</f>
        <v>750000</v>
      </c>
      <c r="E2" s="27">
        <f aca="true" t="shared" si="0" ref="E2:E25">SMALL($C$2:$C$25,A2)</f>
        <v>-5</v>
      </c>
      <c r="F2" s="70">
        <f aca="true" t="shared" si="1" ref="F2:F25">LARGE($E$2:$E$25,A2)</f>
        <v>22</v>
      </c>
      <c r="G2" s="24" t="str">
        <f>IF(F2=C2,B2,IF(F2=C10,B10,IF(F2=C18,B18)))</f>
        <v>1 Ekstra</v>
      </c>
      <c r="H2" s="71">
        <f>IF(G2=$B$2,$D$2,IF(G2=$B$10,$D$10,IF(G2=$B$18,$D$18)))</f>
        <v>150000</v>
      </c>
      <c r="I2" s="52">
        <f>H2</f>
        <v>150000</v>
      </c>
    </row>
    <row r="3" spans="1:9" ht="12.75">
      <c r="A3" s="29">
        <f aca="true" t="shared" si="2" ref="A3:A25">A2+1</f>
        <v>2</v>
      </c>
      <c r="B3" s="30" t="str">
        <f>CONCATENATE(2," ",'Prisoptimering (1.3)'!$D$2)</f>
        <v>2 Top</v>
      </c>
      <c r="C3" s="72">
        <f>'Prisoptimering (1.3)'!N6</f>
        <v>11</v>
      </c>
      <c r="D3" s="41">
        <f>'Prisoptimering (1.3)'!O6</f>
        <v>125000</v>
      </c>
      <c r="E3" s="32">
        <f t="shared" si="0"/>
        <v>0</v>
      </c>
      <c r="F3" s="73">
        <f t="shared" si="1"/>
        <v>18</v>
      </c>
      <c r="G3" s="29" t="str">
        <f>IF(F3=$C$2,$B$2,IF(F3=$C$3,$B$3,IF(F3=$C$10,$B$10,IF(F3=$C$11,$B$11,IF(F3=$C$18,$B$18,IF(F3=$C$19,$B$19))))))</f>
        <v>1 Top</v>
      </c>
      <c r="H3" s="74">
        <f>IF(G3=$B$2,$D$2,IF(G3=$B$10,$D$10,IF(G3=$B$18,$D$18,IF(G3=$B$3,$D$3,IF(G3=$B$11,$D$11,IF(G3=$B$19,$D$19,IF(G3=$B$4,$D$4,IF(G3=$B$12,$D$12))))))))</f>
        <v>750000</v>
      </c>
      <c r="I3" s="52">
        <f aca="true" t="shared" si="3" ref="I3:I13">H3+I2</f>
        <v>900000</v>
      </c>
    </row>
    <row r="4" spans="1:9" ht="12.75">
      <c r="A4" s="29">
        <f t="shared" si="2"/>
        <v>3</v>
      </c>
      <c r="B4" s="30" t="str">
        <f>CONCATENATE(3," ",'Prisoptimering (1.3)'!$D$2)</f>
        <v>3 Top</v>
      </c>
      <c r="C4" s="72">
        <f>'Prisoptimering (1.3)'!N8</f>
        <v>9</v>
      </c>
      <c r="D4" s="41">
        <f>'Prisoptimering (1.3)'!O8</f>
        <v>125000</v>
      </c>
      <c r="E4" s="32">
        <f t="shared" si="0"/>
        <v>0</v>
      </c>
      <c r="F4" s="73">
        <f t="shared" si="1"/>
        <v>13.5</v>
      </c>
      <c r="G4" s="29" t="str">
        <f>IF(F4=$C$2,$B$2,IF(F4=$C$3,$B$3,IF(F4=$C$10,$B$10,IF(F4=$C$11,$B$11,IF(F4=$C$18,$B$18,IF(F4=$C$19,$B$19,IF(F4=$C$4,$B$4,IF(F4=$C$12,$B$12,))))))))</f>
        <v>2 Ekstra</v>
      </c>
      <c r="H4" s="74">
        <f>IF(G4=$B$2,$D$2,IF(G4=$B$10,$D$10,IF(G4=$B$18,$D$18,IF(G4=$B$3,$D$3,IF(G4=$B$11,$D$11,IF(G4=$B$19,$D$19,IF(G4=$B$4,$D$4,IF(G4=$B$12,$D$12))))))))</f>
        <v>20000</v>
      </c>
      <c r="I4" s="52">
        <f t="shared" si="3"/>
        <v>920000</v>
      </c>
    </row>
    <row r="5" spans="1:9" ht="12.75">
      <c r="A5" s="29">
        <f t="shared" si="2"/>
        <v>4</v>
      </c>
      <c r="B5" s="30" t="str">
        <f>CONCATENATE(4," ",'Prisoptimering (1.3)'!$D$2)</f>
        <v>4 Top</v>
      </c>
      <c r="C5" s="72">
        <f>'Prisoptimering (1.3)'!N10</f>
        <v>7</v>
      </c>
      <c r="D5" s="41">
        <f>'Prisoptimering (1.3)'!O10</f>
        <v>125000</v>
      </c>
      <c r="E5" s="32">
        <f t="shared" si="0"/>
        <v>0</v>
      </c>
      <c r="F5" s="73">
        <f t="shared" si="1"/>
        <v>13.2</v>
      </c>
      <c r="G5" s="29" t="str">
        <f>IF(F5=$C$2,$B$2,IF(F5=$C$3,$B$3,IF(F5=$C$10,$B$10,IF(F5=$C$11,$B$11,IF(F5=$C$18,$B$18,IF(F5=$C$19,$B$19,IF(F5=$C$4,$B$4,IF(F5=$C$12,$B$12,))))))))</f>
        <v>3 Ekstra</v>
      </c>
      <c r="H5" s="74">
        <f>IF(G5=$B$2,$D$2,IF(G5=$B$10,$D$10,IF(G5=$B$18,$D$18,IF(G5=$B$3,$D$3,IF(G5=$B$11,$D$11,IF(G5=$B$19,$D$19,IF(G5=$B$4,$D$4,IF(G5=$B$12,$D$12))))))))</f>
        <v>25000</v>
      </c>
      <c r="I5" s="52">
        <f t="shared" si="3"/>
        <v>945000</v>
      </c>
    </row>
    <row r="6" spans="1:9" ht="12.75">
      <c r="A6" s="29">
        <f t="shared" si="2"/>
        <v>5</v>
      </c>
      <c r="B6" s="30" t="str">
        <f>CONCATENATE(5," ",'Prisoptimering (1.3)'!$D$2)</f>
        <v>5 Top</v>
      </c>
      <c r="C6" s="72">
        <f>'Prisoptimering (1.3)'!N12</f>
        <v>-5</v>
      </c>
      <c r="D6" s="41">
        <f>'Prisoptimering (1.3)'!O12</f>
        <v>125000</v>
      </c>
      <c r="E6" s="32">
        <f t="shared" si="0"/>
        <v>0</v>
      </c>
      <c r="F6" s="73">
        <f t="shared" si="1"/>
        <v>11</v>
      </c>
      <c r="G6" s="29" t="str">
        <f>IF(F6=$C$2,$B$2,IF(F6=$C$3,$B$3,IF(F6=$C$10,$B$10,IF(F6=$C$11,$B$11,IF(F6=$C$18,$B$18,IF(F6=$C$19,$B$19,IF(F6=$C$4,$B$4,IF(F6=$C$12,$B$12,))))))))</f>
        <v>2 Top</v>
      </c>
      <c r="H6" s="74">
        <f>IF(G6=$B$2,$D$2,IF(G6=$B$10,$D$10,IF(G6=$B$18,$D$18,IF(G6=$B$3,$D$3,IF(G6=$B$11,$D$11,IF(G6=$B$19,$D$19,IF(G6=$B$4,$D$4,IF(G6=$B$12,$D$12))))))))</f>
        <v>125000</v>
      </c>
      <c r="I6" s="52">
        <f t="shared" si="3"/>
        <v>1070000</v>
      </c>
    </row>
    <row r="7" spans="1:9" ht="12.75">
      <c r="A7" s="29">
        <f t="shared" si="2"/>
        <v>6</v>
      </c>
      <c r="B7" s="30" t="str">
        <f>CONCATENATE(6," ",'Prisoptimering (1.3)'!$D$2)</f>
        <v>6 Top</v>
      </c>
      <c r="C7" s="72">
        <f>'Prisoptimering (1.3)'!N14</f>
        <v>0</v>
      </c>
      <c r="D7" s="41">
        <f>'Prisoptimering (1.3)'!O14</f>
        <v>0</v>
      </c>
      <c r="E7" s="32">
        <f t="shared" si="0"/>
        <v>0</v>
      </c>
      <c r="F7" s="73">
        <f t="shared" si="1"/>
        <v>11</v>
      </c>
      <c r="G7" s="29" t="str">
        <f>B18</f>
        <v>1 Top export</v>
      </c>
      <c r="H7" s="74">
        <f>IF(G7=$B$2,$D$2,IF(G7=$B$10,$D$10,IF(G7=$B$18,$D$18,IF(G7=$B$3,$D$3,IF(G7=$B$11,$D$11,IF(G7=$B$19,$D$19,IF(G7=$B$4,$D$4,IF(G7=$B$12,$D$12))))))))</f>
        <v>1000000</v>
      </c>
      <c r="I7" s="52">
        <f t="shared" si="3"/>
        <v>2070000</v>
      </c>
    </row>
    <row r="8" spans="1:9" ht="12.75">
      <c r="A8" s="29">
        <f t="shared" si="2"/>
        <v>7</v>
      </c>
      <c r="B8" s="30" t="str">
        <f>CONCATENATE(7," ",'Prisoptimering (1.3)'!$D$2)</f>
        <v>7 Top</v>
      </c>
      <c r="C8" s="72">
        <f>'Prisoptimering (1.3)'!N16</f>
        <v>0</v>
      </c>
      <c r="D8" s="41">
        <f>'Prisoptimering (1.3)'!O16</f>
        <v>0</v>
      </c>
      <c r="E8" s="32">
        <f t="shared" si="0"/>
        <v>0</v>
      </c>
      <c r="F8" s="73">
        <f t="shared" si="1"/>
        <v>9</v>
      </c>
      <c r="G8" s="29" t="str">
        <f>IF(F8=$C$2,$B$2,IF(F8=$C$3,$B$3,IF(F8=$C$13,$B$13,IF(F8=$C$11,$B$11,IF(F8=$C$18,$B$18,IF(F8=$C$19,$B$19,IF(F8=$C$4,$B$4,IF(F8=$C$12,$B$12,))))))))</f>
        <v>3 Top</v>
      </c>
      <c r="H8" s="74">
        <f>IF(G8=$B$2,$D$2,IF(G8=$B$13,$D$13,IF(G8=$B$18,$D$18,IF(G8=$B$3,$D$3,IF(G8=$B$11,$D$11,IF(G8=$B$19,$D$19,IF(G8=$B$4,$D$4,IF(G8=$B$12,$D$12))))))))</f>
        <v>125000</v>
      </c>
      <c r="I8" s="52">
        <f t="shared" si="3"/>
        <v>2195000</v>
      </c>
    </row>
    <row r="9" spans="1:9" ht="13.5" thickBot="1">
      <c r="A9" s="29">
        <f t="shared" si="2"/>
        <v>8</v>
      </c>
      <c r="B9" s="30" t="str">
        <f>CONCATENATE(7," ",'Prisoptimering (1.3)'!$D$2)</f>
        <v>7 Top</v>
      </c>
      <c r="C9" s="72">
        <f>'Prisoptimering (1.3)'!N18</f>
        <v>0</v>
      </c>
      <c r="D9" s="41">
        <f>'Prisoptimering (1.3)'!O18</f>
        <v>0</v>
      </c>
      <c r="E9" s="32">
        <f t="shared" si="0"/>
        <v>0</v>
      </c>
      <c r="F9" s="73">
        <f t="shared" si="1"/>
        <v>7</v>
      </c>
      <c r="G9" s="29" t="str">
        <f>IF(F9=$C$5,$B$5,IF(F9=$C$3,$B$3,IF(F9=$C$13,$B$13,IF(F9=$C$11,$B$11,IF(F9=$C$19,$B$19,IF(F9=$C$20,$B$20,IF(F9=$C$4,$B$4,IF(F9=$C$12,$B$12,))))))))</f>
        <v>4 Top</v>
      </c>
      <c r="H9" s="74">
        <f>IF(G9=$B$5,$D$5,IF(G9=$B$13,$D$13,IF(G9=$B$20,$D$20,IF(G9=$B$3,$D$3,IF(G9=$B$11,$D$11,IF(G9=$B$19,$D$19,IF(G9=$B$4,$D$4,IF(G9=$B$12,$D$12))))))))</f>
        <v>125000</v>
      </c>
      <c r="I9" s="52">
        <f t="shared" si="3"/>
        <v>2320000</v>
      </c>
    </row>
    <row r="10" spans="1:9" ht="12.75">
      <c r="A10" s="24">
        <f t="shared" si="2"/>
        <v>9</v>
      </c>
      <c r="B10" s="25" t="str">
        <f>CONCATENATE(1," ",'Prisoptimering (1.3)'!$D$30)</f>
        <v>1 Ekstra</v>
      </c>
      <c r="C10" s="69">
        <f>'Prisoptimering (1.3)'!N33</f>
        <v>22</v>
      </c>
      <c r="D10" s="40">
        <f>'Prisoptimering (1.3)'!O33</f>
        <v>150000</v>
      </c>
      <c r="E10" s="27">
        <f t="shared" si="0"/>
        <v>0</v>
      </c>
      <c r="F10" s="70">
        <f t="shared" si="1"/>
        <v>6.142857142857143</v>
      </c>
      <c r="G10" s="30" t="str">
        <f>B14</f>
        <v>5 Ekstra</v>
      </c>
      <c r="H10" s="74">
        <f>D14</f>
        <v>17500</v>
      </c>
      <c r="I10" s="52">
        <f t="shared" si="3"/>
        <v>2337500</v>
      </c>
    </row>
    <row r="11" spans="1:9" ht="12.75">
      <c r="A11" s="29">
        <f t="shared" si="2"/>
        <v>10</v>
      </c>
      <c r="B11" s="30" t="str">
        <f>CONCATENATE(2," ",'Prisoptimering (1.3)'!$D$30)</f>
        <v>2 Ekstra</v>
      </c>
      <c r="C11" s="72">
        <f>'Prisoptimering (1.3)'!N34</f>
        <v>13.5</v>
      </c>
      <c r="D11" s="41">
        <f>'Prisoptimering (1.3)'!O34</f>
        <v>20000</v>
      </c>
      <c r="E11" s="32">
        <f t="shared" si="0"/>
        <v>0</v>
      </c>
      <c r="F11" s="73">
        <f t="shared" si="1"/>
        <v>3.4</v>
      </c>
      <c r="G11" s="30" t="str">
        <f>IF(F11=$C$5,$B$5,IF(F11=$C$3,$B$3,IF(F11=$C$13,$B$13,IF(F11=$C$11,$B$11,IF(F11=$C$19,$B$19,IF(F11=$C$20,$B$20,IF(F11=$C$4,$B$4,IF(F11=$C$12,$B$12,))))))))</f>
        <v>4 Ekstra</v>
      </c>
      <c r="H11" s="74">
        <f>IF(G11=$B$5,$D$5,IF(G11=$B$13,$D$13,IF(G11=$B$20,$D$20,IF(G11=$B$3,$D$3,IF(G11=$B$11,$D$11,IF(G11=$B$19,$D$19,IF(G11=$B$4,$D$4,IF(G11=$B$12,$D$12,"-"))))))))</f>
        <v>12500</v>
      </c>
      <c r="I11" s="52">
        <f t="shared" si="3"/>
        <v>2350000</v>
      </c>
    </row>
    <row r="12" spans="1:9" ht="12.75">
      <c r="A12" s="29">
        <f t="shared" si="2"/>
        <v>11</v>
      </c>
      <c r="B12" s="30" t="str">
        <f>CONCATENATE(3," ",'Prisoptimering (1.3)'!$D$30)</f>
        <v>3 Ekstra</v>
      </c>
      <c r="C12" s="72">
        <f>'Prisoptimering (1.3)'!N36</f>
        <v>13.2</v>
      </c>
      <c r="D12" s="41">
        <f>'Prisoptimering (1.3)'!O36</f>
        <v>25000</v>
      </c>
      <c r="E12" s="32">
        <f t="shared" si="0"/>
        <v>0</v>
      </c>
      <c r="F12" s="73">
        <f t="shared" si="1"/>
        <v>0</v>
      </c>
      <c r="G12" s="30" t="str">
        <f>IF(F12=$C$5,$B$5,IF(F12=$C$6,$B$6,IF(F12=$C$13,$B$13,IF(F12=$C$14,$B$14,IF(F12=$C$21,$B$21,IF(F12=$C$20,$B$20,IF(F12=$C$4,$B$4,IF(F12=$C$12,$B$12,"-"))))))))</f>
        <v>4 Top export</v>
      </c>
      <c r="H12" s="74" t="str">
        <f>IF(G12=$B$5,$D$5,IF(G12=$B$13,$D$13,IF(G12=$B$20,$D$20,IF(G12=$B$3,$D$3,IF(G12=$B$11,$D$11,IF(G12=$B$19,$D$19,IF(G12=$B$4,$D$4,IF(G12=$B$12,$D$12,"-"))))))))</f>
        <v>-</v>
      </c>
      <c r="I12" s="52" t="e">
        <f t="shared" si="3"/>
        <v>#VALUE!</v>
      </c>
    </row>
    <row r="13" spans="1:9" ht="13.5" thickBot="1">
      <c r="A13" s="29">
        <f t="shared" si="2"/>
        <v>12</v>
      </c>
      <c r="B13" s="30" t="str">
        <f>CONCATENATE(4," ",'Prisoptimering (1.3)'!$D$30)</f>
        <v>4 Ekstra</v>
      </c>
      <c r="C13" s="72">
        <f>'Prisoptimering (1.3)'!N38</f>
        <v>3.4</v>
      </c>
      <c r="D13" s="41">
        <f>'Prisoptimering (1.3)'!O38</f>
        <v>12500</v>
      </c>
      <c r="E13" s="32">
        <f t="shared" si="0"/>
        <v>0</v>
      </c>
      <c r="F13" s="75">
        <f t="shared" si="1"/>
        <v>0</v>
      </c>
      <c r="G13" s="35" t="str">
        <f>IF(F13=$C$5,$B$5,IF(F13=$C$6,$B$6,IF(F13=$C$13,$B$13,IF(F13=$C$14,$B$14,IF(F13=$C$21,$B$21,IF(F13=$C$20,$B$20,IF(F13=$C$4,$B$4,IF(F13=$C$12,$B$12,"-"))))))))</f>
        <v>4 Top export</v>
      </c>
      <c r="H13" s="76" t="str">
        <f>IF(G13=$B$5,$D$5,IF(G13=$B$13,$D$13,IF(G13=$B$20,$D$20,IF(G13=$B$3,$D$3,IF(G13=$B$11,$D$11,IF(G13=$B$19,$D$19,IF(G13=$B$4,$D$4,IF(G13=$B$12,$D$12,"-"))))))))</f>
        <v>-</v>
      </c>
      <c r="I13" s="53" t="e">
        <f t="shared" si="3"/>
        <v>#VALUE!</v>
      </c>
    </row>
    <row r="14" spans="1:6" ht="12.75">
      <c r="A14" s="29">
        <f t="shared" si="2"/>
        <v>13</v>
      </c>
      <c r="B14" s="30" t="str">
        <f>CONCATENATE(5," ",'Prisoptimering (1.3)'!$D$30)</f>
        <v>5 Ekstra</v>
      </c>
      <c r="C14" s="72">
        <f>'Prisoptimering (1.3)'!N40</f>
        <v>6.142857142857143</v>
      </c>
      <c r="D14" s="41">
        <f>'Prisoptimering (1.3)'!O40</f>
        <v>17500</v>
      </c>
      <c r="E14" s="32">
        <f t="shared" si="0"/>
        <v>0</v>
      </c>
      <c r="F14" s="73">
        <f t="shared" si="1"/>
        <v>0</v>
      </c>
    </row>
    <row r="15" spans="1:6" ht="12.75">
      <c r="A15" s="29">
        <f t="shared" si="2"/>
        <v>14</v>
      </c>
      <c r="B15" s="30" t="str">
        <f>CONCATENATE(6," ",'Prisoptimering (1.3)'!$D$30)</f>
        <v>6 Ekstra</v>
      </c>
      <c r="C15" s="72">
        <f>'Prisoptimering (1.3)'!N42</f>
        <v>0</v>
      </c>
      <c r="D15" s="41">
        <f>'Prisoptimering (1.3)'!O42</f>
        <v>0</v>
      </c>
      <c r="E15" s="32">
        <f t="shared" si="0"/>
        <v>0</v>
      </c>
      <c r="F15" s="73">
        <f t="shared" si="1"/>
        <v>0</v>
      </c>
    </row>
    <row r="16" spans="1:6" ht="12.75">
      <c r="A16" s="29">
        <f t="shared" si="2"/>
        <v>15</v>
      </c>
      <c r="B16" s="30" t="str">
        <f>CONCATENATE(7," ",'Prisoptimering (1.3)'!$D$30)</f>
        <v>7 Ekstra</v>
      </c>
      <c r="C16" s="72">
        <f>'Prisoptimering (1.3)'!N44</f>
        <v>0</v>
      </c>
      <c r="D16" s="41">
        <f>'Prisoptimering (1.3)'!O44</f>
        <v>0</v>
      </c>
      <c r="E16" s="32">
        <f t="shared" si="0"/>
        <v>3.4</v>
      </c>
      <c r="F16" s="73">
        <f t="shared" si="1"/>
        <v>0</v>
      </c>
    </row>
    <row r="17" spans="1:6" ht="13.5" thickBot="1">
      <c r="A17" s="29">
        <f t="shared" si="2"/>
        <v>16</v>
      </c>
      <c r="B17" s="30" t="str">
        <f>CONCATENATE(8," ",'Prisoptimering (1.3)'!$D$30)</f>
        <v>8 Ekstra</v>
      </c>
      <c r="C17" s="72">
        <f>'Prisoptimering (1.3)'!N46</f>
        <v>0</v>
      </c>
      <c r="D17" s="41">
        <f>'Prisoptimering (1.3)'!O46</f>
        <v>0</v>
      </c>
      <c r="E17" s="32">
        <f t="shared" si="0"/>
        <v>6.142857142857143</v>
      </c>
      <c r="F17" s="75">
        <f t="shared" si="1"/>
        <v>0</v>
      </c>
    </row>
    <row r="18" spans="1:6" ht="12.75">
      <c r="A18" s="24">
        <f t="shared" si="2"/>
        <v>17</v>
      </c>
      <c r="B18" s="25" t="str">
        <f>CONCATENATE(1," ",'Prisoptimering (1.3)'!$D$58)</f>
        <v>1 Top export</v>
      </c>
      <c r="C18" s="69">
        <f>'Prisoptimering (1.3)'!N61</f>
        <v>11</v>
      </c>
      <c r="D18" s="40">
        <f>'Prisoptimering (1.3)'!O61</f>
        <v>1000000</v>
      </c>
      <c r="E18" s="27">
        <f t="shared" si="0"/>
        <v>7</v>
      </c>
      <c r="F18" s="77">
        <f t="shared" si="1"/>
        <v>0</v>
      </c>
    </row>
    <row r="19" spans="1:6" ht="12.75">
      <c r="A19" s="29">
        <f t="shared" si="2"/>
        <v>18</v>
      </c>
      <c r="B19" s="30" t="str">
        <f>CONCATENATE(2," ",'Prisoptimering (1.3)'!$D$58)</f>
        <v>2 Top export</v>
      </c>
      <c r="C19" s="72">
        <f>'Prisoptimering (1.3)'!N62</f>
        <v>0</v>
      </c>
      <c r="D19" s="41">
        <f>'Prisoptimering (1.3)'!O62</f>
        <v>0</v>
      </c>
      <c r="E19" s="32">
        <f t="shared" si="0"/>
        <v>9</v>
      </c>
      <c r="F19" s="77">
        <f t="shared" si="1"/>
        <v>0</v>
      </c>
    </row>
    <row r="20" spans="1:6" ht="12.75">
      <c r="A20" s="29">
        <f t="shared" si="2"/>
        <v>19</v>
      </c>
      <c r="B20" s="30" t="str">
        <f>CONCATENATE(3," ",'Prisoptimering (1.3)'!$D$58)</f>
        <v>3 Top export</v>
      </c>
      <c r="C20" s="72">
        <f>'Prisoptimering (1.3)'!N64</f>
        <v>0</v>
      </c>
      <c r="D20" s="41">
        <f>'Prisoptimering (1.3)'!O64</f>
        <v>0</v>
      </c>
      <c r="E20" s="32">
        <f t="shared" si="0"/>
        <v>11</v>
      </c>
      <c r="F20" s="77">
        <f t="shared" si="1"/>
        <v>0</v>
      </c>
    </row>
    <row r="21" spans="1:6" ht="12.75">
      <c r="A21" s="29">
        <f t="shared" si="2"/>
        <v>20</v>
      </c>
      <c r="B21" s="30" t="str">
        <f>CONCATENATE(4," ",'Prisoptimering (1.3)'!$D$58)</f>
        <v>4 Top export</v>
      </c>
      <c r="C21" s="72">
        <f>'Prisoptimering (1.3)'!N66</f>
        <v>0</v>
      </c>
      <c r="D21" s="41">
        <f>'Prisoptimering (1.3)'!O66</f>
        <v>0</v>
      </c>
      <c r="E21" s="32">
        <f t="shared" si="0"/>
        <v>11</v>
      </c>
      <c r="F21" s="77">
        <f t="shared" si="1"/>
        <v>0</v>
      </c>
    </row>
    <row r="22" spans="1:6" ht="12.75">
      <c r="A22" s="29">
        <f t="shared" si="2"/>
        <v>21</v>
      </c>
      <c r="B22" s="30" t="str">
        <f>CONCATENATE(5," ",'Prisoptimering (1.3)'!$D$58)</f>
        <v>5 Top export</v>
      </c>
      <c r="C22" s="72">
        <f>'Prisoptimering (1.3)'!N68</f>
        <v>0</v>
      </c>
      <c r="D22" s="41">
        <f>'Prisoptimering (1.3)'!O68</f>
        <v>0</v>
      </c>
      <c r="E22" s="32">
        <f t="shared" si="0"/>
        <v>13.2</v>
      </c>
      <c r="F22" s="77">
        <f t="shared" si="1"/>
        <v>0</v>
      </c>
    </row>
    <row r="23" spans="1:6" ht="12.75">
      <c r="A23" s="29">
        <f t="shared" si="2"/>
        <v>22</v>
      </c>
      <c r="B23" s="30" t="str">
        <f>CONCATENATE(6," ",'Prisoptimering (1.3)'!$D$58)</f>
        <v>6 Top export</v>
      </c>
      <c r="C23" s="72">
        <f>'Prisoptimering (1.3)'!N70</f>
        <v>0</v>
      </c>
      <c r="D23" s="41">
        <f>'Prisoptimering (1.3)'!O70</f>
        <v>0</v>
      </c>
      <c r="E23" s="32">
        <f t="shared" si="0"/>
        <v>13.5</v>
      </c>
      <c r="F23" s="77">
        <f t="shared" si="1"/>
        <v>0</v>
      </c>
    </row>
    <row r="24" spans="1:6" ht="12.75">
      <c r="A24" s="29">
        <f t="shared" si="2"/>
        <v>23</v>
      </c>
      <c r="B24" s="30" t="str">
        <f>CONCATENATE(7," ",'Prisoptimering (1.3)'!$D$58)</f>
        <v>7 Top export</v>
      </c>
      <c r="C24" s="72">
        <f>'Prisoptimering (1.3)'!N72</f>
        <v>0</v>
      </c>
      <c r="D24" s="41">
        <f>'Prisoptimering (1.3)'!O72</f>
        <v>0</v>
      </c>
      <c r="E24" s="32">
        <f t="shared" si="0"/>
        <v>18</v>
      </c>
      <c r="F24" s="77">
        <f t="shared" si="1"/>
        <v>0</v>
      </c>
    </row>
    <row r="25" spans="1:6" ht="13.5" thickBot="1">
      <c r="A25" s="34">
        <f t="shared" si="2"/>
        <v>24</v>
      </c>
      <c r="B25" s="35" t="str">
        <f>CONCATENATE(8," ",'Prisoptimering (1.3)'!$D$58)</f>
        <v>8 Top export</v>
      </c>
      <c r="C25" s="78">
        <f>'Prisoptimering (1.3)'!N74</f>
        <v>0</v>
      </c>
      <c r="D25" s="42">
        <f>'Prisoptimering (1.3)'!O74</f>
        <v>0</v>
      </c>
      <c r="E25" s="37">
        <f t="shared" si="0"/>
        <v>22</v>
      </c>
      <c r="F25" s="79">
        <f t="shared" si="1"/>
        <v>-5</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E71" sqref="E71"/>
    </sheetView>
  </sheetViews>
  <sheetFormatPr defaultColWidth="9.140625" defaultRowHeight="12.75"/>
  <cols>
    <col min="1" max="1" width="9.28125" style="0" customWidth="1"/>
    <col min="2" max="2" width="16.140625" style="0" customWidth="1"/>
    <col min="3" max="3" width="20.7109375" style="0" customWidth="1"/>
    <col min="4" max="4" width="28.28125" style="0" customWidth="1"/>
    <col min="5" max="5" width="27.7109375" style="0" customWidth="1"/>
    <col min="6" max="6" width="28.28125" style="0" customWidth="1"/>
    <col min="7" max="7" width="24.7109375" style="0" hidden="1" customWidth="1"/>
    <col min="8" max="8" width="24.8515625" style="0" customWidth="1"/>
    <col min="9" max="9" width="24.140625" style="0" customWidth="1"/>
  </cols>
  <sheetData>
    <row r="1" spans="1:3" ht="18">
      <c r="A1" s="405" t="s">
        <v>87</v>
      </c>
      <c r="B1" s="406"/>
      <c r="C1" s="406"/>
    </row>
    <row r="2" spans="1:4" ht="18">
      <c r="A2" s="100" t="s">
        <v>88</v>
      </c>
      <c r="B2" s="20"/>
      <c r="C2" s="20"/>
      <c r="D2" s="101">
        <v>5700000</v>
      </c>
    </row>
    <row r="3" spans="1:4" ht="18">
      <c r="A3" s="102" t="s">
        <v>89</v>
      </c>
      <c r="B3" s="20"/>
      <c r="C3" s="20"/>
      <c r="D3" s="101">
        <v>80000</v>
      </c>
    </row>
    <row r="4" spans="1:4" ht="18">
      <c r="A4" s="100" t="s">
        <v>90</v>
      </c>
      <c r="B4" s="20"/>
      <c r="C4" s="20"/>
      <c r="D4" s="101">
        <f>D2+D3</f>
        <v>5780000</v>
      </c>
    </row>
    <row r="5" spans="1:3" ht="18">
      <c r="A5" s="100"/>
      <c r="B5" s="20"/>
      <c r="C5" s="20"/>
    </row>
    <row r="6" spans="1:3" ht="18">
      <c r="A6" s="100"/>
      <c r="B6" s="20"/>
      <c r="C6" s="20"/>
    </row>
    <row r="7" ht="18">
      <c r="A7" s="2"/>
    </row>
    <row r="8" spans="1:2" ht="15.75">
      <c r="A8" s="9" t="s">
        <v>91</v>
      </c>
      <c r="B8" s="103">
        <v>4</v>
      </c>
    </row>
    <row r="9" spans="1:2" ht="16.5" thickBot="1">
      <c r="A9" s="9" t="s">
        <v>92</v>
      </c>
      <c r="B9" s="104">
        <v>0.2</v>
      </c>
    </row>
    <row r="10" spans="1:9" ht="64.5" customHeight="1" thickBot="1">
      <c r="A10" s="105" t="s">
        <v>93</v>
      </c>
      <c r="B10" s="106" t="s">
        <v>94</v>
      </c>
      <c r="C10" s="107" t="s">
        <v>95</v>
      </c>
      <c r="D10" s="105" t="s">
        <v>96</v>
      </c>
      <c r="E10" s="108" t="s">
        <v>104</v>
      </c>
      <c r="F10" s="105" t="s">
        <v>105</v>
      </c>
      <c r="G10" s="105" t="s">
        <v>106</v>
      </c>
      <c r="H10" s="108" t="str">
        <f>CONCATENATE("Nutidsværdien ved den interne rente (IRR) ",(ROUND(F64,4)*100)," %")</f>
        <v>Nutidsværdien ved den interne rente (IRR) 20,76 %</v>
      </c>
      <c r="I10" s="108" t="s">
        <v>107</v>
      </c>
    </row>
    <row r="11" spans="1:9" ht="18">
      <c r="A11" s="109">
        <v>0</v>
      </c>
      <c r="B11" s="110">
        <v>0</v>
      </c>
      <c r="C11" s="111">
        <f>D4</f>
        <v>5780000</v>
      </c>
      <c r="D11" s="112">
        <f>B11-C11</f>
        <v>-5780000</v>
      </c>
      <c r="E11" s="113">
        <f aca="true" t="shared" si="0" ref="E11:E42">IF(A11&lt;=$B$8,POWER((1+$B$9),(A11*-1)),"-")</f>
        <v>1</v>
      </c>
      <c r="F11" s="114">
        <f>D11</f>
        <v>-5780000</v>
      </c>
      <c r="G11" s="113">
        <f aca="true" t="shared" si="1" ref="G11:G42">IF(A11&lt;=$B$8,POWER((1+$F$64),(A11*-1)),"-")</f>
        <v>1</v>
      </c>
      <c r="H11" s="114">
        <f>F11</f>
        <v>-5780000</v>
      </c>
      <c r="I11" s="109"/>
    </row>
    <row r="12" spans="1:9" ht="18">
      <c r="A12" s="115">
        <f aca="true" t="shared" si="2" ref="A12:A43">A11+1</f>
        <v>1</v>
      </c>
      <c r="B12" s="116">
        <v>2273000</v>
      </c>
      <c r="C12" s="117">
        <v>100000</v>
      </c>
      <c r="D12" s="118">
        <f>B12-C12</f>
        <v>2173000</v>
      </c>
      <c r="E12" s="119">
        <f t="shared" si="0"/>
        <v>0.8333333333333334</v>
      </c>
      <c r="F12" s="120">
        <f aca="true" t="shared" si="3" ref="F12:F43">PV($B$9,A12,0,D12)*-1</f>
        <v>1810833.3333333335</v>
      </c>
      <c r="G12" s="119">
        <f t="shared" si="1"/>
        <v>0.8280656665425208</v>
      </c>
      <c r="H12" s="120">
        <f aca="true" t="shared" si="4" ref="H12:H43">PV($F$64,A12,0,D12)*-1</f>
        <v>1799386.6933968975</v>
      </c>
      <c r="I12" s="120">
        <f>PMT($B$9,$B$8,$F$62)*-1</f>
        <v>33393.44262295076</v>
      </c>
    </row>
    <row r="13" spans="1:9" ht="18">
      <c r="A13" s="115">
        <f t="shared" si="2"/>
        <v>2</v>
      </c>
      <c r="B13" s="116">
        <v>2273000</v>
      </c>
      <c r="C13" s="117">
        <v>100000</v>
      </c>
      <c r="D13" s="118">
        <f>B13-C13</f>
        <v>2173000</v>
      </c>
      <c r="E13" s="119">
        <f t="shared" si="0"/>
        <v>0.6944444444444444</v>
      </c>
      <c r="F13" s="120">
        <f t="shared" si="3"/>
        <v>1509027.7777777778</v>
      </c>
      <c r="G13" s="119">
        <f t="shared" si="1"/>
        <v>0.6856927481065092</v>
      </c>
      <c r="H13" s="120">
        <f t="shared" si="4"/>
        <v>1490010.3416354444</v>
      </c>
      <c r="I13" s="120">
        <f aca="true" t="shared" si="5" ref="I13:I18">IF(A13&lt;=$B$8,$I$12,0)</f>
        <v>33393.44262295076</v>
      </c>
    </row>
    <row r="14" spans="1:9" ht="18">
      <c r="A14" s="115">
        <f t="shared" si="2"/>
        <v>3</v>
      </c>
      <c r="B14" s="116">
        <v>2273000</v>
      </c>
      <c r="C14" s="117">
        <v>100000</v>
      </c>
      <c r="D14" s="118">
        <f>B14-C14</f>
        <v>2173000</v>
      </c>
      <c r="E14" s="119">
        <f t="shared" si="0"/>
        <v>0.5787037037037037</v>
      </c>
      <c r="F14" s="120">
        <f t="shared" si="3"/>
        <v>1257523.148148148</v>
      </c>
      <c r="G14" s="119">
        <f t="shared" si="1"/>
        <v>0.5677986225041893</v>
      </c>
      <c r="H14" s="120">
        <f t="shared" si="4"/>
        <v>1233826.4067016032</v>
      </c>
      <c r="I14" s="120">
        <f t="shared" si="5"/>
        <v>33393.44262295076</v>
      </c>
    </row>
    <row r="15" spans="1:9" ht="18">
      <c r="A15" s="115">
        <f t="shared" si="2"/>
        <v>4</v>
      </c>
      <c r="B15" s="116">
        <f>2273000+500000</f>
        <v>2773000</v>
      </c>
      <c r="C15" s="117">
        <v>100000</v>
      </c>
      <c r="D15" s="118">
        <f>B15-C15</f>
        <v>2673000</v>
      </c>
      <c r="E15" s="119">
        <f t="shared" si="0"/>
        <v>0.4822530864197531</v>
      </c>
      <c r="F15" s="120">
        <f t="shared" si="3"/>
        <v>1289062.5</v>
      </c>
      <c r="G15" s="119">
        <f t="shared" si="1"/>
        <v>0.4701745448058566</v>
      </c>
      <c r="H15" s="120">
        <f t="shared" si="4"/>
        <v>1256776.5582660546</v>
      </c>
      <c r="I15" s="120">
        <f t="shared" si="5"/>
        <v>33393.44262295076</v>
      </c>
    </row>
    <row r="16" spans="1:9" ht="18" hidden="1">
      <c r="A16" s="115">
        <f t="shared" si="2"/>
        <v>5</v>
      </c>
      <c r="B16" s="116">
        <v>0</v>
      </c>
      <c r="C16" s="117">
        <v>0</v>
      </c>
      <c r="D16" s="118">
        <f>(B16-C16)</f>
        <v>0</v>
      </c>
      <c r="E16" s="119" t="str">
        <f t="shared" si="0"/>
        <v>-</v>
      </c>
      <c r="F16" s="120">
        <f t="shared" si="3"/>
        <v>0</v>
      </c>
      <c r="G16" s="119" t="str">
        <f t="shared" si="1"/>
        <v>-</v>
      </c>
      <c r="H16" s="120">
        <f t="shared" si="4"/>
        <v>0</v>
      </c>
      <c r="I16" s="120">
        <f t="shared" si="5"/>
        <v>0</v>
      </c>
    </row>
    <row r="17" spans="1:9" ht="18" hidden="1">
      <c r="A17" s="115">
        <f t="shared" si="2"/>
        <v>6</v>
      </c>
      <c r="B17" s="116">
        <v>0</v>
      </c>
      <c r="C17" s="117">
        <v>0</v>
      </c>
      <c r="D17" s="118">
        <f aca="true" t="shared" si="6" ref="D17:D61">B17-C17</f>
        <v>0</v>
      </c>
      <c r="E17" s="119" t="str">
        <f t="shared" si="0"/>
        <v>-</v>
      </c>
      <c r="F17" s="120">
        <f t="shared" si="3"/>
        <v>0</v>
      </c>
      <c r="G17" s="119" t="str">
        <f t="shared" si="1"/>
        <v>-</v>
      </c>
      <c r="H17" s="120">
        <f t="shared" si="4"/>
        <v>0</v>
      </c>
      <c r="I17" s="120">
        <f t="shared" si="5"/>
        <v>0</v>
      </c>
    </row>
    <row r="18" spans="1:9" ht="18" hidden="1">
      <c r="A18" s="115">
        <f t="shared" si="2"/>
        <v>7</v>
      </c>
      <c r="B18" s="116">
        <v>0</v>
      </c>
      <c r="C18" s="117">
        <v>0</v>
      </c>
      <c r="D18" s="118">
        <f t="shared" si="6"/>
        <v>0</v>
      </c>
      <c r="E18" s="119" t="str">
        <f t="shared" si="0"/>
        <v>-</v>
      </c>
      <c r="F18" s="120">
        <f t="shared" si="3"/>
        <v>0</v>
      </c>
      <c r="G18" s="119" t="str">
        <f t="shared" si="1"/>
        <v>-</v>
      </c>
      <c r="H18" s="120">
        <f t="shared" si="4"/>
        <v>0</v>
      </c>
      <c r="I18" s="120">
        <f t="shared" si="5"/>
        <v>0</v>
      </c>
    </row>
    <row r="19" spans="1:11" ht="18" hidden="1">
      <c r="A19" s="115">
        <f t="shared" si="2"/>
        <v>8</v>
      </c>
      <c r="B19" s="116">
        <v>0</v>
      </c>
      <c r="C19" s="117">
        <v>0</v>
      </c>
      <c r="D19" s="118">
        <f t="shared" si="6"/>
        <v>0</v>
      </c>
      <c r="E19" s="119" t="str">
        <f t="shared" si="0"/>
        <v>-</v>
      </c>
      <c r="F19" s="120">
        <f t="shared" si="3"/>
        <v>0</v>
      </c>
      <c r="G19" s="119" t="str">
        <f t="shared" si="1"/>
        <v>-</v>
      </c>
      <c r="H19" s="120">
        <f t="shared" si="4"/>
        <v>0</v>
      </c>
      <c r="I19" s="120">
        <f aca="true" t="shared" si="7" ref="I19:I61">IF(A18&lt;=$B$8,$I$12,0)</f>
        <v>0</v>
      </c>
      <c r="K19" s="121"/>
    </row>
    <row r="20" spans="1:9" ht="18" hidden="1">
      <c r="A20" s="115">
        <f t="shared" si="2"/>
        <v>9</v>
      </c>
      <c r="B20" s="116">
        <v>0</v>
      </c>
      <c r="C20" s="117">
        <v>0</v>
      </c>
      <c r="D20" s="118">
        <f t="shared" si="6"/>
        <v>0</v>
      </c>
      <c r="E20" s="119" t="str">
        <f t="shared" si="0"/>
        <v>-</v>
      </c>
      <c r="F20" s="120">
        <f t="shared" si="3"/>
        <v>0</v>
      </c>
      <c r="G20" s="119" t="str">
        <f t="shared" si="1"/>
        <v>-</v>
      </c>
      <c r="H20" s="120">
        <f t="shared" si="4"/>
        <v>0</v>
      </c>
      <c r="I20" s="120">
        <f t="shared" si="7"/>
        <v>0</v>
      </c>
    </row>
    <row r="21" spans="1:9" ht="18" hidden="1">
      <c r="A21" s="115">
        <f t="shared" si="2"/>
        <v>10</v>
      </c>
      <c r="B21" s="116">
        <v>0</v>
      </c>
      <c r="C21" s="117">
        <v>0</v>
      </c>
      <c r="D21" s="118">
        <f t="shared" si="6"/>
        <v>0</v>
      </c>
      <c r="E21" s="119" t="str">
        <f t="shared" si="0"/>
        <v>-</v>
      </c>
      <c r="F21" s="120">
        <f t="shared" si="3"/>
        <v>0</v>
      </c>
      <c r="G21" s="119" t="str">
        <f t="shared" si="1"/>
        <v>-</v>
      </c>
      <c r="H21" s="120">
        <f t="shared" si="4"/>
        <v>0</v>
      </c>
      <c r="I21" s="120">
        <f t="shared" si="7"/>
        <v>0</v>
      </c>
    </row>
    <row r="22" spans="1:9" ht="18" hidden="1">
      <c r="A22" s="115">
        <f t="shared" si="2"/>
        <v>11</v>
      </c>
      <c r="B22" s="116">
        <v>0</v>
      </c>
      <c r="C22" s="117">
        <v>0</v>
      </c>
      <c r="D22" s="118">
        <f t="shared" si="6"/>
        <v>0</v>
      </c>
      <c r="E22" s="119" t="str">
        <f t="shared" si="0"/>
        <v>-</v>
      </c>
      <c r="F22" s="120">
        <f t="shared" si="3"/>
        <v>0</v>
      </c>
      <c r="G22" s="119" t="str">
        <f t="shared" si="1"/>
        <v>-</v>
      </c>
      <c r="H22" s="120">
        <f t="shared" si="4"/>
        <v>0</v>
      </c>
      <c r="I22" s="120">
        <f t="shared" si="7"/>
        <v>0</v>
      </c>
    </row>
    <row r="23" spans="1:9" ht="18" hidden="1">
      <c r="A23" s="115">
        <f t="shared" si="2"/>
        <v>12</v>
      </c>
      <c r="B23" s="116">
        <v>0</v>
      </c>
      <c r="C23" s="117">
        <v>0</v>
      </c>
      <c r="D23" s="118">
        <f t="shared" si="6"/>
        <v>0</v>
      </c>
      <c r="E23" s="119" t="str">
        <f t="shared" si="0"/>
        <v>-</v>
      </c>
      <c r="F23" s="120">
        <f t="shared" si="3"/>
        <v>0</v>
      </c>
      <c r="G23" s="119" t="str">
        <f t="shared" si="1"/>
        <v>-</v>
      </c>
      <c r="H23" s="120">
        <f t="shared" si="4"/>
        <v>0</v>
      </c>
      <c r="I23" s="120">
        <f t="shared" si="7"/>
        <v>0</v>
      </c>
    </row>
    <row r="24" spans="1:11" ht="18" hidden="1">
      <c r="A24" s="115">
        <f t="shared" si="2"/>
        <v>13</v>
      </c>
      <c r="B24" s="116">
        <v>0</v>
      </c>
      <c r="C24" s="117">
        <v>0</v>
      </c>
      <c r="D24" s="118">
        <f t="shared" si="6"/>
        <v>0</v>
      </c>
      <c r="E24" s="119" t="str">
        <f t="shared" si="0"/>
        <v>-</v>
      </c>
      <c r="F24" s="120">
        <f t="shared" si="3"/>
        <v>0</v>
      </c>
      <c r="G24" s="119" t="str">
        <f t="shared" si="1"/>
        <v>-</v>
      </c>
      <c r="H24" s="120">
        <f t="shared" si="4"/>
        <v>0</v>
      </c>
      <c r="I24" s="120">
        <f t="shared" si="7"/>
        <v>0</v>
      </c>
      <c r="K24" s="121"/>
    </row>
    <row r="25" spans="1:9" ht="18" hidden="1">
      <c r="A25" s="115">
        <f t="shared" si="2"/>
        <v>14</v>
      </c>
      <c r="B25" s="116">
        <v>0</v>
      </c>
      <c r="C25" s="117">
        <v>0</v>
      </c>
      <c r="D25" s="118">
        <f t="shared" si="6"/>
        <v>0</v>
      </c>
      <c r="E25" s="119" t="str">
        <f t="shared" si="0"/>
        <v>-</v>
      </c>
      <c r="F25" s="120">
        <f t="shared" si="3"/>
        <v>0</v>
      </c>
      <c r="G25" s="119" t="str">
        <f t="shared" si="1"/>
        <v>-</v>
      </c>
      <c r="H25" s="120">
        <f t="shared" si="4"/>
        <v>0</v>
      </c>
      <c r="I25" s="120">
        <f t="shared" si="7"/>
        <v>0</v>
      </c>
    </row>
    <row r="26" spans="1:9" ht="18.75" hidden="1" thickBot="1">
      <c r="A26" s="122">
        <f t="shared" si="2"/>
        <v>15</v>
      </c>
      <c r="B26" s="123">
        <v>0</v>
      </c>
      <c r="C26" s="124">
        <v>0</v>
      </c>
      <c r="D26" s="125">
        <f t="shared" si="6"/>
        <v>0</v>
      </c>
      <c r="E26" s="126" t="str">
        <f t="shared" si="0"/>
        <v>-</v>
      </c>
      <c r="F26" s="127">
        <f t="shared" si="3"/>
        <v>0</v>
      </c>
      <c r="G26" s="126" t="str">
        <f t="shared" si="1"/>
        <v>-</v>
      </c>
      <c r="H26" s="127">
        <f t="shared" si="4"/>
        <v>0</v>
      </c>
      <c r="I26" s="127">
        <f t="shared" si="7"/>
        <v>0</v>
      </c>
    </row>
    <row r="27" spans="1:9" ht="18" hidden="1">
      <c r="A27" s="115">
        <f t="shared" si="2"/>
        <v>16</v>
      </c>
      <c r="B27" s="116">
        <v>0</v>
      </c>
      <c r="C27" s="117">
        <v>0</v>
      </c>
      <c r="D27" s="118">
        <f t="shared" si="6"/>
        <v>0</v>
      </c>
      <c r="E27" s="119" t="str">
        <f t="shared" si="0"/>
        <v>-</v>
      </c>
      <c r="F27" s="120">
        <f t="shared" si="3"/>
        <v>0</v>
      </c>
      <c r="G27" s="119" t="str">
        <f t="shared" si="1"/>
        <v>-</v>
      </c>
      <c r="H27" s="120">
        <f t="shared" si="4"/>
        <v>0</v>
      </c>
      <c r="I27" s="120">
        <f t="shared" si="7"/>
        <v>0</v>
      </c>
    </row>
    <row r="28" spans="1:9" ht="18" hidden="1">
      <c r="A28" s="115">
        <f t="shared" si="2"/>
        <v>17</v>
      </c>
      <c r="B28" s="116">
        <v>0</v>
      </c>
      <c r="C28" s="117">
        <v>0</v>
      </c>
      <c r="D28" s="118">
        <f t="shared" si="6"/>
        <v>0</v>
      </c>
      <c r="E28" s="119" t="str">
        <f t="shared" si="0"/>
        <v>-</v>
      </c>
      <c r="F28" s="120">
        <f t="shared" si="3"/>
        <v>0</v>
      </c>
      <c r="G28" s="119" t="str">
        <f t="shared" si="1"/>
        <v>-</v>
      </c>
      <c r="H28" s="120">
        <f t="shared" si="4"/>
        <v>0</v>
      </c>
      <c r="I28" s="120">
        <f t="shared" si="7"/>
        <v>0</v>
      </c>
    </row>
    <row r="29" spans="1:9" ht="18" hidden="1">
      <c r="A29" s="115">
        <f t="shared" si="2"/>
        <v>18</v>
      </c>
      <c r="B29" s="116">
        <v>0</v>
      </c>
      <c r="C29" s="117">
        <v>0</v>
      </c>
      <c r="D29" s="118">
        <f t="shared" si="6"/>
        <v>0</v>
      </c>
      <c r="E29" s="119" t="str">
        <f t="shared" si="0"/>
        <v>-</v>
      </c>
      <c r="F29" s="120">
        <f t="shared" si="3"/>
        <v>0</v>
      </c>
      <c r="G29" s="119" t="str">
        <f t="shared" si="1"/>
        <v>-</v>
      </c>
      <c r="H29" s="120">
        <f t="shared" si="4"/>
        <v>0</v>
      </c>
      <c r="I29" s="120">
        <f t="shared" si="7"/>
        <v>0</v>
      </c>
    </row>
    <row r="30" spans="1:9" ht="18" hidden="1">
      <c r="A30" s="115">
        <f t="shared" si="2"/>
        <v>19</v>
      </c>
      <c r="B30" s="116">
        <v>0</v>
      </c>
      <c r="C30" s="117">
        <v>0</v>
      </c>
      <c r="D30" s="118">
        <f t="shared" si="6"/>
        <v>0</v>
      </c>
      <c r="E30" s="119" t="str">
        <f t="shared" si="0"/>
        <v>-</v>
      </c>
      <c r="F30" s="120">
        <f t="shared" si="3"/>
        <v>0</v>
      </c>
      <c r="G30" s="119" t="str">
        <f t="shared" si="1"/>
        <v>-</v>
      </c>
      <c r="H30" s="120">
        <f t="shared" si="4"/>
        <v>0</v>
      </c>
      <c r="I30" s="120">
        <f t="shared" si="7"/>
        <v>0</v>
      </c>
    </row>
    <row r="31" spans="1:9" ht="18" hidden="1">
      <c r="A31" s="115">
        <f t="shared" si="2"/>
        <v>20</v>
      </c>
      <c r="B31" s="116">
        <v>0</v>
      </c>
      <c r="C31" s="117">
        <v>0</v>
      </c>
      <c r="D31" s="118">
        <f t="shared" si="6"/>
        <v>0</v>
      </c>
      <c r="E31" s="119" t="str">
        <f t="shared" si="0"/>
        <v>-</v>
      </c>
      <c r="F31" s="120">
        <f t="shared" si="3"/>
        <v>0</v>
      </c>
      <c r="G31" s="119" t="str">
        <f t="shared" si="1"/>
        <v>-</v>
      </c>
      <c r="H31" s="120">
        <f t="shared" si="4"/>
        <v>0</v>
      </c>
      <c r="I31" s="120">
        <f t="shared" si="7"/>
        <v>0</v>
      </c>
    </row>
    <row r="32" spans="1:9" ht="18" hidden="1">
      <c r="A32" s="115">
        <f t="shared" si="2"/>
        <v>21</v>
      </c>
      <c r="B32" s="116">
        <v>0</v>
      </c>
      <c r="C32" s="117">
        <v>0</v>
      </c>
      <c r="D32" s="118">
        <f t="shared" si="6"/>
        <v>0</v>
      </c>
      <c r="E32" s="119" t="str">
        <f t="shared" si="0"/>
        <v>-</v>
      </c>
      <c r="F32" s="120">
        <f t="shared" si="3"/>
        <v>0</v>
      </c>
      <c r="G32" s="119" t="str">
        <f t="shared" si="1"/>
        <v>-</v>
      </c>
      <c r="H32" s="120">
        <f t="shared" si="4"/>
        <v>0</v>
      </c>
      <c r="I32" s="120">
        <f t="shared" si="7"/>
        <v>0</v>
      </c>
    </row>
    <row r="33" spans="1:9" ht="18" hidden="1">
      <c r="A33" s="115">
        <f t="shared" si="2"/>
        <v>22</v>
      </c>
      <c r="B33" s="116">
        <v>0</v>
      </c>
      <c r="C33" s="117">
        <v>0</v>
      </c>
      <c r="D33" s="118">
        <f t="shared" si="6"/>
        <v>0</v>
      </c>
      <c r="E33" s="119" t="str">
        <f t="shared" si="0"/>
        <v>-</v>
      </c>
      <c r="F33" s="120">
        <f t="shared" si="3"/>
        <v>0</v>
      </c>
      <c r="G33" s="119" t="str">
        <f t="shared" si="1"/>
        <v>-</v>
      </c>
      <c r="H33" s="120">
        <f t="shared" si="4"/>
        <v>0</v>
      </c>
      <c r="I33" s="120">
        <f t="shared" si="7"/>
        <v>0</v>
      </c>
    </row>
    <row r="34" spans="1:9" ht="18" hidden="1">
      <c r="A34" s="115">
        <f t="shared" si="2"/>
        <v>23</v>
      </c>
      <c r="B34" s="116">
        <v>0</v>
      </c>
      <c r="C34" s="117">
        <v>0</v>
      </c>
      <c r="D34" s="118">
        <f t="shared" si="6"/>
        <v>0</v>
      </c>
      <c r="E34" s="119" t="str">
        <f t="shared" si="0"/>
        <v>-</v>
      </c>
      <c r="F34" s="120">
        <f t="shared" si="3"/>
        <v>0</v>
      </c>
      <c r="G34" s="119" t="str">
        <f t="shared" si="1"/>
        <v>-</v>
      </c>
      <c r="H34" s="120">
        <f t="shared" si="4"/>
        <v>0</v>
      </c>
      <c r="I34" s="120">
        <f t="shared" si="7"/>
        <v>0</v>
      </c>
    </row>
    <row r="35" spans="1:9" ht="18" hidden="1">
      <c r="A35" s="115">
        <f t="shared" si="2"/>
        <v>24</v>
      </c>
      <c r="B35" s="116">
        <v>0</v>
      </c>
      <c r="C35" s="117">
        <v>0</v>
      </c>
      <c r="D35" s="118">
        <f t="shared" si="6"/>
        <v>0</v>
      </c>
      <c r="E35" s="119" t="str">
        <f t="shared" si="0"/>
        <v>-</v>
      </c>
      <c r="F35" s="120">
        <f t="shared" si="3"/>
        <v>0</v>
      </c>
      <c r="G35" s="119" t="str">
        <f t="shared" si="1"/>
        <v>-</v>
      </c>
      <c r="H35" s="120">
        <f t="shared" si="4"/>
        <v>0</v>
      </c>
      <c r="I35" s="120">
        <f t="shared" si="7"/>
        <v>0</v>
      </c>
    </row>
    <row r="36" spans="1:9" ht="18" hidden="1">
      <c r="A36" s="115">
        <f t="shared" si="2"/>
        <v>25</v>
      </c>
      <c r="B36" s="116">
        <v>0</v>
      </c>
      <c r="C36" s="117">
        <v>0</v>
      </c>
      <c r="D36" s="118">
        <f t="shared" si="6"/>
        <v>0</v>
      </c>
      <c r="E36" s="119" t="str">
        <f t="shared" si="0"/>
        <v>-</v>
      </c>
      <c r="F36" s="120">
        <f t="shared" si="3"/>
        <v>0</v>
      </c>
      <c r="G36" s="119" t="str">
        <f t="shared" si="1"/>
        <v>-</v>
      </c>
      <c r="H36" s="120">
        <f t="shared" si="4"/>
        <v>0</v>
      </c>
      <c r="I36" s="120">
        <f t="shared" si="7"/>
        <v>0</v>
      </c>
    </row>
    <row r="37" spans="1:9" ht="18" hidden="1">
      <c r="A37" s="115">
        <f t="shared" si="2"/>
        <v>26</v>
      </c>
      <c r="B37" s="116">
        <v>0</v>
      </c>
      <c r="C37" s="117">
        <v>0</v>
      </c>
      <c r="D37" s="118">
        <f t="shared" si="6"/>
        <v>0</v>
      </c>
      <c r="E37" s="119" t="str">
        <f t="shared" si="0"/>
        <v>-</v>
      </c>
      <c r="F37" s="120">
        <f t="shared" si="3"/>
        <v>0</v>
      </c>
      <c r="G37" s="119" t="str">
        <f t="shared" si="1"/>
        <v>-</v>
      </c>
      <c r="H37" s="120">
        <f t="shared" si="4"/>
        <v>0</v>
      </c>
      <c r="I37" s="120">
        <f t="shared" si="7"/>
        <v>0</v>
      </c>
    </row>
    <row r="38" spans="1:9" ht="18" hidden="1">
      <c r="A38" s="115">
        <f t="shared" si="2"/>
        <v>27</v>
      </c>
      <c r="B38" s="116">
        <v>0</v>
      </c>
      <c r="C38" s="117">
        <v>0</v>
      </c>
      <c r="D38" s="118">
        <f t="shared" si="6"/>
        <v>0</v>
      </c>
      <c r="E38" s="119" t="str">
        <f t="shared" si="0"/>
        <v>-</v>
      </c>
      <c r="F38" s="120">
        <f t="shared" si="3"/>
        <v>0</v>
      </c>
      <c r="G38" s="119" t="str">
        <f t="shared" si="1"/>
        <v>-</v>
      </c>
      <c r="H38" s="120">
        <f t="shared" si="4"/>
        <v>0</v>
      </c>
      <c r="I38" s="120">
        <f t="shared" si="7"/>
        <v>0</v>
      </c>
    </row>
    <row r="39" spans="1:9" ht="18" hidden="1">
      <c r="A39" s="115">
        <f t="shared" si="2"/>
        <v>28</v>
      </c>
      <c r="B39" s="116">
        <v>0</v>
      </c>
      <c r="C39" s="117">
        <v>0</v>
      </c>
      <c r="D39" s="118">
        <f t="shared" si="6"/>
        <v>0</v>
      </c>
      <c r="E39" s="119" t="str">
        <f t="shared" si="0"/>
        <v>-</v>
      </c>
      <c r="F39" s="120">
        <f t="shared" si="3"/>
        <v>0</v>
      </c>
      <c r="G39" s="119" t="str">
        <f t="shared" si="1"/>
        <v>-</v>
      </c>
      <c r="H39" s="120">
        <f t="shared" si="4"/>
        <v>0</v>
      </c>
      <c r="I39" s="120">
        <f t="shared" si="7"/>
        <v>0</v>
      </c>
    </row>
    <row r="40" spans="1:9" ht="18" hidden="1">
      <c r="A40" s="115">
        <f t="shared" si="2"/>
        <v>29</v>
      </c>
      <c r="B40" s="116">
        <v>0</v>
      </c>
      <c r="C40" s="117">
        <v>0</v>
      </c>
      <c r="D40" s="118">
        <f t="shared" si="6"/>
        <v>0</v>
      </c>
      <c r="E40" s="119" t="str">
        <f t="shared" si="0"/>
        <v>-</v>
      </c>
      <c r="F40" s="120">
        <f t="shared" si="3"/>
        <v>0</v>
      </c>
      <c r="G40" s="119" t="str">
        <f t="shared" si="1"/>
        <v>-</v>
      </c>
      <c r="H40" s="120">
        <f t="shared" si="4"/>
        <v>0</v>
      </c>
      <c r="I40" s="120">
        <f t="shared" si="7"/>
        <v>0</v>
      </c>
    </row>
    <row r="41" spans="1:9" ht="18" hidden="1">
      <c r="A41" s="115">
        <f t="shared" si="2"/>
        <v>30</v>
      </c>
      <c r="B41" s="116">
        <v>0</v>
      </c>
      <c r="C41" s="117">
        <v>0</v>
      </c>
      <c r="D41" s="118">
        <f t="shared" si="6"/>
        <v>0</v>
      </c>
      <c r="E41" s="119" t="str">
        <f t="shared" si="0"/>
        <v>-</v>
      </c>
      <c r="F41" s="120">
        <f t="shared" si="3"/>
        <v>0</v>
      </c>
      <c r="G41" s="119" t="str">
        <f t="shared" si="1"/>
        <v>-</v>
      </c>
      <c r="H41" s="120">
        <f t="shared" si="4"/>
        <v>0</v>
      </c>
      <c r="I41" s="120">
        <f t="shared" si="7"/>
        <v>0</v>
      </c>
    </row>
    <row r="42" spans="1:9" ht="18" hidden="1">
      <c r="A42" s="115">
        <f t="shared" si="2"/>
        <v>31</v>
      </c>
      <c r="B42" s="116">
        <v>0</v>
      </c>
      <c r="C42" s="117">
        <v>0</v>
      </c>
      <c r="D42" s="118">
        <f t="shared" si="6"/>
        <v>0</v>
      </c>
      <c r="E42" s="119" t="str">
        <f t="shared" si="0"/>
        <v>-</v>
      </c>
      <c r="F42" s="120">
        <f t="shared" si="3"/>
        <v>0</v>
      </c>
      <c r="G42" s="119" t="str">
        <f t="shared" si="1"/>
        <v>-</v>
      </c>
      <c r="H42" s="120">
        <f t="shared" si="4"/>
        <v>0</v>
      </c>
      <c r="I42" s="120">
        <f t="shared" si="7"/>
        <v>0</v>
      </c>
    </row>
    <row r="43" spans="1:9" ht="18" hidden="1">
      <c r="A43" s="115">
        <f t="shared" si="2"/>
        <v>32</v>
      </c>
      <c r="B43" s="116">
        <v>0</v>
      </c>
      <c r="C43" s="117">
        <v>0</v>
      </c>
      <c r="D43" s="118">
        <f t="shared" si="6"/>
        <v>0</v>
      </c>
      <c r="E43" s="119" t="str">
        <f aca="true" t="shared" si="8" ref="E43:E61">IF(A43&lt;=$B$8,POWER((1+$B$9),(A43*-1)),"-")</f>
        <v>-</v>
      </c>
      <c r="F43" s="120">
        <f t="shared" si="3"/>
        <v>0</v>
      </c>
      <c r="G43" s="119" t="str">
        <f aca="true" t="shared" si="9" ref="G43:G61">IF(A43&lt;=$B$8,POWER((1+$F$64),(A43*-1)),"-")</f>
        <v>-</v>
      </c>
      <c r="H43" s="120">
        <f t="shared" si="4"/>
        <v>0</v>
      </c>
      <c r="I43" s="120">
        <f t="shared" si="7"/>
        <v>0</v>
      </c>
    </row>
    <row r="44" spans="1:9" ht="18" hidden="1">
      <c r="A44" s="115">
        <f aca="true" t="shared" si="10" ref="A44:A61">A43+1</f>
        <v>33</v>
      </c>
      <c r="B44" s="116">
        <v>0</v>
      </c>
      <c r="C44" s="117">
        <v>0</v>
      </c>
      <c r="D44" s="118">
        <f t="shared" si="6"/>
        <v>0</v>
      </c>
      <c r="E44" s="119" t="str">
        <f t="shared" si="8"/>
        <v>-</v>
      </c>
      <c r="F44" s="120">
        <f aca="true" t="shared" si="11" ref="F44:F61">PV($B$9,A44,0,D44)*-1</f>
        <v>0</v>
      </c>
      <c r="G44" s="119" t="str">
        <f t="shared" si="9"/>
        <v>-</v>
      </c>
      <c r="H44" s="120">
        <f aca="true" t="shared" si="12" ref="H44:H61">PV($F$64,A44,0,D44)*-1</f>
        <v>0</v>
      </c>
      <c r="I44" s="120">
        <f t="shared" si="7"/>
        <v>0</v>
      </c>
    </row>
    <row r="45" spans="1:9" ht="18" hidden="1">
      <c r="A45" s="115">
        <f t="shared" si="10"/>
        <v>34</v>
      </c>
      <c r="B45" s="116">
        <v>0</v>
      </c>
      <c r="C45" s="117">
        <v>0</v>
      </c>
      <c r="D45" s="118">
        <f t="shared" si="6"/>
        <v>0</v>
      </c>
      <c r="E45" s="119" t="str">
        <f t="shared" si="8"/>
        <v>-</v>
      </c>
      <c r="F45" s="120">
        <f t="shared" si="11"/>
        <v>0</v>
      </c>
      <c r="G45" s="119" t="str">
        <f t="shared" si="9"/>
        <v>-</v>
      </c>
      <c r="H45" s="120">
        <f t="shared" si="12"/>
        <v>0</v>
      </c>
      <c r="I45" s="120">
        <f t="shared" si="7"/>
        <v>0</v>
      </c>
    </row>
    <row r="46" spans="1:9" ht="18" hidden="1">
      <c r="A46" s="115">
        <f t="shared" si="10"/>
        <v>35</v>
      </c>
      <c r="B46" s="116">
        <v>0</v>
      </c>
      <c r="C46" s="117">
        <v>0</v>
      </c>
      <c r="D46" s="118">
        <f t="shared" si="6"/>
        <v>0</v>
      </c>
      <c r="E46" s="119" t="str">
        <f t="shared" si="8"/>
        <v>-</v>
      </c>
      <c r="F46" s="120">
        <f t="shared" si="11"/>
        <v>0</v>
      </c>
      <c r="G46" s="119" t="str">
        <f t="shared" si="9"/>
        <v>-</v>
      </c>
      <c r="H46" s="120">
        <f t="shared" si="12"/>
        <v>0</v>
      </c>
      <c r="I46" s="120">
        <f t="shared" si="7"/>
        <v>0</v>
      </c>
    </row>
    <row r="47" spans="1:9" ht="18" hidden="1">
      <c r="A47" s="115">
        <f t="shared" si="10"/>
        <v>36</v>
      </c>
      <c r="B47" s="116">
        <v>0</v>
      </c>
      <c r="C47" s="117">
        <v>0</v>
      </c>
      <c r="D47" s="118">
        <f t="shared" si="6"/>
        <v>0</v>
      </c>
      <c r="E47" s="119" t="str">
        <f t="shared" si="8"/>
        <v>-</v>
      </c>
      <c r="F47" s="120">
        <f t="shared" si="11"/>
        <v>0</v>
      </c>
      <c r="G47" s="119" t="str">
        <f t="shared" si="9"/>
        <v>-</v>
      </c>
      <c r="H47" s="120">
        <f t="shared" si="12"/>
        <v>0</v>
      </c>
      <c r="I47" s="120">
        <f t="shared" si="7"/>
        <v>0</v>
      </c>
    </row>
    <row r="48" spans="1:9" ht="18" hidden="1">
      <c r="A48" s="115">
        <f t="shared" si="10"/>
        <v>37</v>
      </c>
      <c r="B48" s="116">
        <v>0</v>
      </c>
      <c r="C48" s="117">
        <v>0</v>
      </c>
      <c r="D48" s="118">
        <f t="shared" si="6"/>
        <v>0</v>
      </c>
      <c r="E48" s="119" t="str">
        <f t="shared" si="8"/>
        <v>-</v>
      </c>
      <c r="F48" s="120">
        <f t="shared" si="11"/>
        <v>0</v>
      </c>
      <c r="G48" s="119" t="str">
        <f t="shared" si="9"/>
        <v>-</v>
      </c>
      <c r="H48" s="120">
        <f t="shared" si="12"/>
        <v>0</v>
      </c>
      <c r="I48" s="120">
        <f t="shared" si="7"/>
        <v>0</v>
      </c>
    </row>
    <row r="49" spans="1:9" ht="18" hidden="1">
      <c r="A49" s="115">
        <f t="shared" si="10"/>
        <v>38</v>
      </c>
      <c r="B49" s="116">
        <v>0</v>
      </c>
      <c r="C49" s="117">
        <v>0</v>
      </c>
      <c r="D49" s="118">
        <f t="shared" si="6"/>
        <v>0</v>
      </c>
      <c r="E49" s="119" t="str">
        <f t="shared" si="8"/>
        <v>-</v>
      </c>
      <c r="F49" s="120">
        <f t="shared" si="11"/>
        <v>0</v>
      </c>
      <c r="G49" s="119" t="str">
        <f t="shared" si="9"/>
        <v>-</v>
      </c>
      <c r="H49" s="120">
        <f t="shared" si="12"/>
        <v>0</v>
      </c>
      <c r="I49" s="120">
        <f t="shared" si="7"/>
        <v>0</v>
      </c>
    </row>
    <row r="50" spans="1:9" ht="18" hidden="1">
      <c r="A50" s="115">
        <f t="shared" si="10"/>
        <v>39</v>
      </c>
      <c r="B50" s="116">
        <v>0</v>
      </c>
      <c r="C50" s="117">
        <v>0</v>
      </c>
      <c r="D50" s="118">
        <f t="shared" si="6"/>
        <v>0</v>
      </c>
      <c r="E50" s="119" t="str">
        <f t="shared" si="8"/>
        <v>-</v>
      </c>
      <c r="F50" s="120">
        <f t="shared" si="11"/>
        <v>0</v>
      </c>
      <c r="G50" s="119" t="str">
        <f t="shared" si="9"/>
        <v>-</v>
      </c>
      <c r="H50" s="120">
        <f t="shared" si="12"/>
        <v>0</v>
      </c>
      <c r="I50" s="120">
        <f t="shared" si="7"/>
        <v>0</v>
      </c>
    </row>
    <row r="51" spans="1:9" ht="18" hidden="1">
      <c r="A51" s="115">
        <f t="shared" si="10"/>
        <v>40</v>
      </c>
      <c r="B51" s="116">
        <v>0</v>
      </c>
      <c r="C51" s="117">
        <v>0</v>
      </c>
      <c r="D51" s="118">
        <f t="shared" si="6"/>
        <v>0</v>
      </c>
      <c r="E51" s="119" t="str">
        <f t="shared" si="8"/>
        <v>-</v>
      </c>
      <c r="F51" s="120">
        <f t="shared" si="11"/>
        <v>0</v>
      </c>
      <c r="G51" s="119" t="str">
        <f t="shared" si="9"/>
        <v>-</v>
      </c>
      <c r="H51" s="120">
        <f t="shared" si="12"/>
        <v>0</v>
      </c>
      <c r="I51" s="120">
        <f t="shared" si="7"/>
        <v>0</v>
      </c>
    </row>
    <row r="52" spans="1:9" ht="18" hidden="1">
      <c r="A52" s="115">
        <f t="shared" si="10"/>
        <v>41</v>
      </c>
      <c r="B52" s="116">
        <v>0</v>
      </c>
      <c r="C52" s="117">
        <v>0</v>
      </c>
      <c r="D52" s="118">
        <f t="shared" si="6"/>
        <v>0</v>
      </c>
      <c r="E52" s="119" t="str">
        <f t="shared" si="8"/>
        <v>-</v>
      </c>
      <c r="F52" s="120">
        <f t="shared" si="11"/>
        <v>0</v>
      </c>
      <c r="G52" s="119" t="str">
        <f t="shared" si="9"/>
        <v>-</v>
      </c>
      <c r="H52" s="120">
        <f t="shared" si="12"/>
        <v>0</v>
      </c>
      <c r="I52" s="120">
        <f t="shared" si="7"/>
        <v>0</v>
      </c>
    </row>
    <row r="53" spans="1:9" ht="18" hidden="1">
      <c r="A53" s="115">
        <f t="shared" si="10"/>
        <v>42</v>
      </c>
      <c r="B53" s="116">
        <v>0</v>
      </c>
      <c r="C53" s="117">
        <v>0</v>
      </c>
      <c r="D53" s="118">
        <f t="shared" si="6"/>
        <v>0</v>
      </c>
      <c r="E53" s="119" t="str">
        <f t="shared" si="8"/>
        <v>-</v>
      </c>
      <c r="F53" s="120">
        <f t="shared" si="11"/>
        <v>0</v>
      </c>
      <c r="G53" s="119" t="str">
        <f t="shared" si="9"/>
        <v>-</v>
      </c>
      <c r="H53" s="120">
        <f t="shared" si="12"/>
        <v>0</v>
      </c>
      <c r="I53" s="120">
        <f t="shared" si="7"/>
        <v>0</v>
      </c>
    </row>
    <row r="54" spans="1:9" ht="18" hidden="1">
      <c r="A54" s="115">
        <f t="shared" si="10"/>
        <v>43</v>
      </c>
      <c r="B54" s="116">
        <v>0</v>
      </c>
      <c r="C54" s="117">
        <v>0</v>
      </c>
      <c r="D54" s="118">
        <f t="shared" si="6"/>
        <v>0</v>
      </c>
      <c r="E54" s="119" t="str">
        <f t="shared" si="8"/>
        <v>-</v>
      </c>
      <c r="F54" s="120">
        <f t="shared" si="11"/>
        <v>0</v>
      </c>
      <c r="G54" s="119" t="str">
        <f t="shared" si="9"/>
        <v>-</v>
      </c>
      <c r="H54" s="120">
        <f t="shared" si="12"/>
        <v>0</v>
      </c>
      <c r="I54" s="120">
        <f t="shared" si="7"/>
        <v>0</v>
      </c>
    </row>
    <row r="55" spans="1:9" ht="18" hidden="1">
      <c r="A55" s="115">
        <f t="shared" si="10"/>
        <v>44</v>
      </c>
      <c r="B55" s="116">
        <v>0</v>
      </c>
      <c r="C55" s="117">
        <v>0</v>
      </c>
      <c r="D55" s="118">
        <f t="shared" si="6"/>
        <v>0</v>
      </c>
      <c r="E55" s="119" t="str">
        <f t="shared" si="8"/>
        <v>-</v>
      </c>
      <c r="F55" s="120">
        <f t="shared" si="11"/>
        <v>0</v>
      </c>
      <c r="G55" s="119" t="str">
        <f t="shared" si="9"/>
        <v>-</v>
      </c>
      <c r="H55" s="120">
        <f t="shared" si="12"/>
        <v>0</v>
      </c>
      <c r="I55" s="120">
        <f t="shared" si="7"/>
        <v>0</v>
      </c>
    </row>
    <row r="56" spans="1:9" ht="18" hidden="1">
      <c r="A56" s="115">
        <f t="shared" si="10"/>
        <v>45</v>
      </c>
      <c r="B56" s="116">
        <v>0</v>
      </c>
      <c r="C56" s="117">
        <v>0</v>
      </c>
      <c r="D56" s="118">
        <f t="shared" si="6"/>
        <v>0</v>
      </c>
      <c r="E56" s="119" t="str">
        <f t="shared" si="8"/>
        <v>-</v>
      </c>
      <c r="F56" s="120">
        <f t="shared" si="11"/>
        <v>0</v>
      </c>
      <c r="G56" s="119" t="str">
        <f t="shared" si="9"/>
        <v>-</v>
      </c>
      <c r="H56" s="120">
        <f t="shared" si="12"/>
        <v>0</v>
      </c>
      <c r="I56" s="120">
        <f t="shared" si="7"/>
        <v>0</v>
      </c>
    </row>
    <row r="57" spans="1:9" ht="18" hidden="1">
      <c r="A57" s="115">
        <f t="shared" si="10"/>
        <v>46</v>
      </c>
      <c r="B57" s="116">
        <v>0</v>
      </c>
      <c r="C57" s="117">
        <v>0</v>
      </c>
      <c r="D57" s="118">
        <f t="shared" si="6"/>
        <v>0</v>
      </c>
      <c r="E57" s="119" t="str">
        <f t="shared" si="8"/>
        <v>-</v>
      </c>
      <c r="F57" s="120">
        <f t="shared" si="11"/>
        <v>0</v>
      </c>
      <c r="G57" s="119" t="str">
        <f t="shared" si="9"/>
        <v>-</v>
      </c>
      <c r="H57" s="120">
        <f t="shared" si="12"/>
        <v>0</v>
      </c>
      <c r="I57" s="120">
        <f t="shared" si="7"/>
        <v>0</v>
      </c>
    </row>
    <row r="58" spans="1:9" ht="18" hidden="1">
      <c r="A58" s="115">
        <f t="shared" si="10"/>
        <v>47</v>
      </c>
      <c r="B58" s="116">
        <v>0</v>
      </c>
      <c r="C58" s="117">
        <v>0</v>
      </c>
      <c r="D58" s="118">
        <f t="shared" si="6"/>
        <v>0</v>
      </c>
      <c r="E58" s="119" t="str">
        <f t="shared" si="8"/>
        <v>-</v>
      </c>
      <c r="F58" s="120">
        <f t="shared" si="11"/>
        <v>0</v>
      </c>
      <c r="G58" s="119" t="str">
        <f t="shared" si="9"/>
        <v>-</v>
      </c>
      <c r="H58" s="120">
        <f t="shared" si="12"/>
        <v>0</v>
      </c>
      <c r="I58" s="120">
        <f t="shared" si="7"/>
        <v>0</v>
      </c>
    </row>
    <row r="59" spans="1:9" ht="18" hidden="1">
      <c r="A59" s="115">
        <f t="shared" si="10"/>
        <v>48</v>
      </c>
      <c r="B59" s="116">
        <v>0</v>
      </c>
      <c r="C59" s="117">
        <v>0</v>
      </c>
      <c r="D59" s="118">
        <f t="shared" si="6"/>
        <v>0</v>
      </c>
      <c r="E59" s="119" t="str">
        <f t="shared" si="8"/>
        <v>-</v>
      </c>
      <c r="F59" s="120">
        <f t="shared" si="11"/>
        <v>0</v>
      </c>
      <c r="G59" s="119" t="str">
        <f t="shared" si="9"/>
        <v>-</v>
      </c>
      <c r="H59" s="120">
        <f t="shared" si="12"/>
        <v>0</v>
      </c>
      <c r="I59" s="120">
        <f t="shared" si="7"/>
        <v>0</v>
      </c>
    </row>
    <row r="60" spans="1:9" ht="18" hidden="1">
      <c r="A60" s="115">
        <f t="shared" si="10"/>
        <v>49</v>
      </c>
      <c r="B60" s="116">
        <v>0</v>
      </c>
      <c r="C60" s="117">
        <v>0</v>
      </c>
      <c r="D60" s="118">
        <f t="shared" si="6"/>
        <v>0</v>
      </c>
      <c r="E60" s="119" t="str">
        <f t="shared" si="8"/>
        <v>-</v>
      </c>
      <c r="F60" s="120">
        <f t="shared" si="11"/>
        <v>0</v>
      </c>
      <c r="G60" s="119" t="str">
        <f t="shared" si="9"/>
        <v>-</v>
      </c>
      <c r="H60" s="120">
        <f t="shared" si="12"/>
        <v>0</v>
      </c>
      <c r="I60" s="120">
        <f t="shared" si="7"/>
        <v>0</v>
      </c>
    </row>
    <row r="61" spans="1:9" ht="18.75" hidden="1" thickBot="1">
      <c r="A61" s="122">
        <f t="shared" si="10"/>
        <v>50</v>
      </c>
      <c r="B61" s="123">
        <v>0</v>
      </c>
      <c r="C61" s="124">
        <v>0</v>
      </c>
      <c r="D61" s="125">
        <f t="shared" si="6"/>
        <v>0</v>
      </c>
      <c r="E61" s="126" t="str">
        <f t="shared" si="8"/>
        <v>-</v>
      </c>
      <c r="F61" s="127">
        <f t="shared" si="11"/>
        <v>0</v>
      </c>
      <c r="G61" s="126" t="str">
        <f t="shared" si="9"/>
        <v>-</v>
      </c>
      <c r="H61" s="127">
        <f t="shared" si="12"/>
        <v>0</v>
      </c>
      <c r="I61" s="127">
        <f t="shared" si="7"/>
        <v>0</v>
      </c>
    </row>
    <row r="62" spans="1:9" ht="18.75" thickBot="1">
      <c r="A62" s="128" t="s">
        <v>97</v>
      </c>
      <c r="B62" s="129"/>
      <c r="C62" s="129"/>
      <c r="D62" s="129"/>
      <c r="E62" s="129"/>
      <c r="F62" s="130">
        <f>SUM(F11:F61)</f>
        <v>86446.7592592591</v>
      </c>
      <c r="G62" s="131"/>
      <c r="H62" s="132">
        <f>SUM(H11:H61)</f>
        <v>0</v>
      </c>
      <c r="I62" s="133"/>
    </row>
    <row r="63" spans="1:9" ht="18.75" thickBot="1">
      <c r="A63" s="134" t="s">
        <v>98</v>
      </c>
      <c r="B63" s="135"/>
      <c r="C63" s="135"/>
      <c r="D63" s="135"/>
      <c r="E63" s="135"/>
      <c r="F63" s="136">
        <f>I12</f>
        <v>33393.44262295076</v>
      </c>
      <c r="G63" s="137"/>
      <c r="H63" s="137"/>
      <c r="I63" s="133"/>
    </row>
    <row r="64" spans="1:9" ht="18.75" thickBot="1">
      <c r="A64" s="138" t="s">
        <v>99</v>
      </c>
      <c r="B64" s="139"/>
      <c r="C64" s="139"/>
      <c r="D64" s="139"/>
      <c r="E64" s="139"/>
      <c r="F64" s="140">
        <f>IRR(D11:D61)</f>
        <v>0.20763369428824224</v>
      </c>
      <c r="G64" s="141"/>
      <c r="H64" s="141"/>
      <c r="I64" s="133"/>
    </row>
    <row r="65" spans="1:9" ht="18.75" thickBot="1">
      <c r="A65" s="128" t="s">
        <v>100</v>
      </c>
      <c r="B65" s="129"/>
      <c r="C65" s="129"/>
      <c r="D65" s="129"/>
      <c r="E65" s="129"/>
      <c r="F65" s="142">
        <f>NPER(B9,F67,F11,0)</f>
        <v>3.913907532987068</v>
      </c>
      <c r="G65" s="143"/>
      <c r="H65" s="143"/>
      <c r="I65" s="133"/>
    </row>
    <row r="66" spans="1:8" ht="12.75" hidden="1">
      <c r="A66" s="144" t="s">
        <v>101</v>
      </c>
      <c r="F66" s="145">
        <f>SUM(F12:F61)</f>
        <v>5866446.759259259</v>
      </c>
      <c r="G66" s="145"/>
      <c r="H66" s="145"/>
    </row>
    <row r="67" spans="1:8" ht="12.75" hidden="1">
      <c r="A67" s="144" t="s">
        <v>102</v>
      </c>
      <c r="F67" s="146">
        <f>PMT(B9,B8,F66,0)*-1</f>
        <v>2266144.5603576754</v>
      </c>
      <c r="G67" s="146"/>
      <c r="H67" s="146"/>
    </row>
    <row r="69" ht="18">
      <c r="A69" s="147" t="s">
        <v>103</v>
      </c>
    </row>
    <row r="70" spans="1:6" ht="78" customHeight="1">
      <c r="A70" s="407" t="str">
        <f>CONCATENATE("Da nutidsværdien er ",IF(F62&gt;=0,"positiv med ","negativ med "),"kr. ",ROUND(F62,0)," er investeringen ",IF(F62&gt;=0,"rentabel ","ikke rentabel "),"og bør ",IF(F62&gt;=0,"foretages. ","ikke foretages. "),"Den interne rente er på ",ROUND(F64,4)*100," hvilket er ",IF(ROUND((F64-B9),4)*100&gt;0,ROUND((F64-B9),4)*100,ROUND((F64-B9),4)*-100)," %-point ",IF(B9&lt;=F64,"over ","under "),"kalkulationsrenten på ",ROUND(B9,2)*100," %. ","Hvis man omregner nutidsværdien til en annuitet bliver det årlige ",IF(F62&gt;=0,"overskud ","underskud "),"på kr. ",ROUND(F63,0),". ","Både den ",IF(F62&gt;=0,"postive ","negative "),"nutidsværdi og det at den interne rente er ",IF(F62&gt;=0,"over ","under "),"kalkulationsrenten bekræfter os i at investeringen ",IF(F62&gt;=0,"bør foretages.","ikke bør foretages."))</f>
        <v>Da nutidsværdien er positiv med kr. 86447 er investeringen rentabel og bør foretages. Den interne rente er på 20,76 hvilket er 0,76 %-point over kalkulationsrenten på 20 %. Hvis man omregner nutidsværdien til en annuitet bliver det årlige overskud på kr. 33393. Både den postive nutidsværdi og det at den interne rente er over kalkulationsrenten bekræfter os i at investeringen bør foretages.</v>
      </c>
      <c r="B70" s="407"/>
      <c r="C70" s="407"/>
      <c r="D70" s="407"/>
      <c r="E70" s="407"/>
      <c r="F70" s="407"/>
    </row>
    <row r="71" spans="1:2" ht="12.75">
      <c r="A71" s="30"/>
      <c r="B71" s="30"/>
    </row>
    <row r="72" spans="1:2" ht="12.75">
      <c r="A72" s="30"/>
      <c r="B72" s="30"/>
    </row>
  </sheetData>
  <mergeCells count="2">
    <mergeCell ref="A1:C1"/>
    <mergeCell ref="A70:F70"/>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A71" sqref="A71"/>
    </sheetView>
  </sheetViews>
  <sheetFormatPr defaultColWidth="9.140625" defaultRowHeight="12.75"/>
  <cols>
    <col min="1" max="1" width="9.28125" style="0" customWidth="1"/>
    <col min="2" max="2" width="16.140625" style="0" customWidth="1"/>
    <col min="3" max="3" width="20.7109375" style="0" customWidth="1"/>
    <col min="4" max="4" width="28.28125" style="0" customWidth="1"/>
    <col min="5" max="5" width="27.7109375" style="0" customWidth="1"/>
    <col min="6" max="6" width="28.28125" style="0" customWidth="1"/>
    <col min="7" max="7" width="24.7109375" style="0" hidden="1" customWidth="1"/>
    <col min="8" max="8" width="24.8515625" style="0" customWidth="1"/>
    <col min="9" max="9" width="24.140625" style="0" customWidth="1"/>
  </cols>
  <sheetData>
    <row r="1" spans="1:3" ht="18">
      <c r="A1" s="405" t="s">
        <v>87</v>
      </c>
      <c r="B1" s="406"/>
      <c r="C1" s="406"/>
    </row>
    <row r="2" spans="1:4" ht="18">
      <c r="A2" s="100" t="s">
        <v>88</v>
      </c>
      <c r="B2" s="20"/>
      <c r="C2" s="20"/>
      <c r="D2" s="101">
        <v>5700000</v>
      </c>
    </row>
    <row r="3" spans="1:4" ht="18">
      <c r="A3" s="102" t="s">
        <v>89</v>
      </c>
      <c r="B3" s="20"/>
      <c r="C3" s="20"/>
      <c r="D3" s="101">
        <v>80000</v>
      </c>
    </row>
    <row r="4" spans="1:4" ht="18">
      <c r="A4" s="100" t="s">
        <v>90</v>
      </c>
      <c r="B4" s="20"/>
      <c r="C4" s="20"/>
      <c r="D4" s="101">
        <f>D2+D3</f>
        <v>5780000</v>
      </c>
    </row>
    <row r="5" spans="1:3" ht="18">
      <c r="A5" s="100"/>
      <c r="B5" s="20"/>
      <c r="C5" s="20"/>
    </row>
    <row r="6" spans="1:3" ht="18">
      <c r="A6" s="100"/>
      <c r="B6" s="20"/>
      <c r="C6" s="20"/>
    </row>
    <row r="7" ht="18">
      <c r="A7" s="2"/>
    </row>
    <row r="8" spans="1:2" ht="15.75">
      <c r="A8" s="9" t="s">
        <v>91</v>
      </c>
      <c r="B8" s="103">
        <v>4</v>
      </c>
    </row>
    <row r="9" spans="1:2" ht="16.5" thickBot="1">
      <c r="A9" s="9" t="s">
        <v>92</v>
      </c>
      <c r="B9" s="104">
        <v>0.2</v>
      </c>
    </row>
    <row r="10" spans="1:9" ht="64.5" customHeight="1" thickBot="1">
      <c r="A10" s="105" t="s">
        <v>93</v>
      </c>
      <c r="B10" s="106" t="s">
        <v>94</v>
      </c>
      <c r="C10" s="107" t="s">
        <v>95</v>
      </c>
      <c r="D10" s="105" t="s">
        <v>96</v>
      </c>
      <c r="E10" s="108" t="s">
        <v>104</v>
      </c>
      <c r="F10" s="105" t="s">
        <v>105</v>
      </c>
      <c r="G10" s="105" t="s">
        <v>106</v>
      </c>
      <c r="H10" s="108" t="str">
        <f>CONCATENATE("Nutidsværdien ved den interne rente (IRR) ",(ROUND(F64,4)*100)," %")</f>
        <v>Nutidsværdien ved den interne rente (IRR) 20 %</v>
      </c>
      <c r="I10" s="108" t="s">
        <v>107</v>
      </c>
    </row>
    <row r="11" spans="1:9" ht="18">
      <c r="A11" s="109">
        <v>0</v>
      </c>
      <c r="B11" s="110">
        <v>0</v>
      </c>
      <c r="C11" s="111">
        <f>D4</f>
        <v>5780000</v>
      </c>
      <c r="D11" s="112">
        <f>B11-C11</f>
        <v>-5780000</v>
      </c>
      <c r="E11" s="113">
        <f aca="true" t="shared" si="0" ref="E11:E42">IF(A11&lt;=$B$8,POWER((1+$B$9),(A11*-1)),"-")</f>
        <v>1</v>
      </c>
      <c r="F11" s="114">
        <f>D11</f>
        <v>-5780000</v>
      </c>
      <c r="G11" s="113">
        <f aca="true" t="shared" si="1" ref="G11:G42">IF(A11&lt;=$B$8,POWER((1+$F$64),(A11*-1)),"-")</f>
        <v>1</v>
      </c>
      <c r="H11" s="114">
        <f>F11</f>
        <v>-5780000</v>
      </c>
      <c r="I11" s="109"/>
    </row>
    <row r="12" spans="1:9" ht="18">
      <c r="A12" s="115">
        <f aca="true" t="shared" si="2" ref="A12:A43">A11+1</f>
        <v>1</v>
      </c>
      <c r="B12" s="116">
        <v>2273000</v>
      </c>
      <c r="C12" s="117">
        <v>133393.44</v>
      </c>
      <c r="D12" s="118">
        <f>B12-C12</f>
        <v>2139606.56</v>
      </c>
      <c r="E12" s="119">
        <f t="shared" si="0"/>
        <v>0.8333333333333334</v>
      </c>
      <c r="F12" s="120">
        <f aca="true" t="shared" si="3" ref="F12:F43">PV($B$9,A12,0,D12)*-1</f>
        <v>1783005.4666666668</v>
      </c>
      <c r="G12" s="119">
        <f t="shared" si="1"/>
        <v>0.8333333329160787</v>
      </c>
      <c r="H12" s="120">
        <f aca="true" t="shared" si="4" ref="H12:H43">PV($F$64,A12,0,D12)*-1</f>
        <v>1783005.465773906</v>
      </c>
      <c r="I12" s="120">
        <f>PMT($B$9,$B$8,$F$62)*-1</f>
        <v>0.0026229508931786046</v>
      </c>
    </row>
    <row r="13" spans="1:9" ht="18">
      <c r="A13" s="115">
        <f t="shared" si="2"/>
        <v>2</v>
      </c>
      <c r="B13" s="116">
        <v>2273000</v>
      </c>
      <c r="C13" s="117">
        <v>133393.44</v>
      </c>
      <c r="D13" s="118">
        <f>B13-C13</f>
        <v>2139606.56</v>
      </c>
      <c r="E13" s="119">
        <f t="shared" si="0"/>
        <v>0.6944444444444444</v>
      </c>
      <c r="F13" s="120">
        <f t="shared" si="3"/>
        <v>1485837.888888889</v>
      </c>
      <c r="G13" s="119">
        <f t="shared" si="1"/>
        <v>0.69444444374902</v>
      </c>
      <c r="H13" s="120">
        <f t="shared" si="4"/>
        <v>1485837.8874009543</v>
      </c>
      <c r="I13" s="120">
        <f aca="true" t="shared" si="5" ref="I13:I18">IF(A13&lt;=$B$8,$I$12,0)</f>
        <v>0.0026229508931786046</v>
      </c>
    </row>
    <row r="14" spans="1:9" ht="18">
      <c r="A14" s="115">
        <f t="shared" si="2"/>
        <v>3</v>
      </c>
      <c r="B14" s="116">
        <v>2273000</v>
      </c>
      <c r="C14" s="117">
        <v>133393.44</v>
      </c>
      <c r="D14" s="118">
        <f>B14-C14</f>
        <v>2139606.56</v>
      </c>
      <c r="E14" s="119">
        <f t="shared" si="0"/>
        <v>0.5787037037037037</v>
      </c>
      <c r="F14" s="120">
        <f t="shared" si="3"/>
        <v>1238198.2407407407</v>
      </c>
      <c r="G14" s="119">
        <f t="shared" si="1"/>
        <v>0.5787037028344232</v>
      </c>
      <c r="H14" s="120">
        <f t="shared" si="4"/>
        <v>1238198.2388808224</v>
      </c>
      <c r="I14" s="120">
        <f t="shared" si="5"/>
        <v>0.0026229508931786046</v>
      </c>
    </row>
    <row r="15" spans="1:9" ht="18.75" thickBot="1">
      <c r="A15" s="122">
        <f t="shared" si="2"/>
        <v>4</v>
      </c>
      <c r="B15" s="123">
        <f>2273000+500000</f>
        <v>2773000</v>
      </c>
      <c r="C15" s="124">
        <v>133393.44</v>
      </c>
      <c r="D15" s="125">
        <f>B15-C15</f>
        <v>2639606.56</v>
      </c>
      <c r="E15" s="126">
        <f t="shared" si="0"/>
        <v>0.4822530864197531</v>
      </c>
      <c r="F15" s="127">
        <f t="shared" si="3"/>
        <v>1272958.4104938272</v>
      </c>
      <c r="G15" s="126">
        <f t="shared" si="1"/>
        <v>0.4822530854538859</v>
      </c>
      <c r="H15" s="127">
        <f t="shared" si="4"/>
        <v>1272958.407944318</v>
      </c>
      <c r="I15" s="127">
        <f t="shared" si="5"/>
        <v>0.0026229508931786046</v>
      </c>
    </row>
    <row r="16" spans="1:9" ht="18" hidden="1">
      <c r="A16" s="115">
        <f t="shared" si="2"/>
        <v>5</v>
      </c>
      <c r="B16" s="116">
        <v>0</v>
      </c>
      <c r="C16" s="117">
        <v>0</v>
      </c>
      <c r="D16" s="118">
        <f>(B16-C16)</f>
        <v>0</v>
      </c>
      <c r="E16" s="119" t="str">
        <f t="shared" si="0"/>
        <v>-</v>
      </c>
      <c r="F16" s="120">
        <f t="shared" si="3"/>
        <v>0</v>
      </c>
      <c r="G16" s="119" t="str">
        <f t="shared" si="1"/>
        <v>-</v>
      </c>
      <c r="H16" s="120">
        <f t="shared" si="4"/>
        <v>0</v>
      </c>
      <c r="I16" s="120">
        <f t="shared" si="5"/>
        <v>0</v>
      </c>
    </row>
    <row r="17" spans="1:9" ht="18" hidden="1">
      <c r="A17" s="115">
        <f t="shared" si="2"/>
        <v>6</v>
      </c>
      <c r="B17" s="116">
        <v>0</v>
      </c>
      <c r="C17" s="117">
        <v>0</v>
      </c>
      <c r="D17" s="118">
        <f aca="true" t="shared" si="6" ref="D17:D61">B17-C17</f>
        <v>0</v>
      </c>
      <c r="E17" s="119" t="str">
        <f t="shared" si="0"/>
        <v>-</v>
      </c>
      <c r="F17" s="120">
        <f t="shared" si="3"/>
        <v>0</v>
      </c>
      <c r="G17" s="119" t="str">
        <f t="shared" si="1"/>
        <v>-</v>
      </c>
      <c r="H17" s="120">
        <f t="shared" si="4"/>
        <v>0</v>
      </c>
      <c r="I17" s="120">
        <f t="shared" si="5"/>
        <v>0</v>
      </c>
    </row>
    <row r="18" spans="1:9" ht="18" hidden="1">
      <c r="A18" s="115">
        <f t="shared" si="2"/>
        <v>7</v>
      </c>
      <c r="B18" s="116">
        <v>0</v>
      </c>
      <c r="C18" s="117">
        <v>0</v>
      </c>
      <c r="D18" s="118">
        <f t="shared" si="6"/>
        <v>0</v>
      </c>
      <c r="E18" s="119" t="str">
        <f t="shared" si="0"/>
        <v>-</v>
      </c>
      <c r="F18" s="120">
        <f t="shared" si="3"/>
        <v>0</v>
      </c>
      <c r="G18" s="119" t="str">
        <f t="shared" si="1"/>
        <v>-</v>
      </c>
      <c r="H18" s="120">
        <f t="shared" si="4"/>
        <v>0</v>
      </c>
      <c r="I18" s="120">
        <f t="shared" si="5"/>
        <v>0</v>
      </c>
    </row>
    <row r="19" spans="1:11" ht="18" hidden="1">
      <c r="A19" s="115">
        <f t="shared" si="2"/>
        <v>8</v>
      </c>
      <c r="B19" s="116">
        <v>0</v>
      </c>
      <c r="C19" s="117">
        <v>0</v>
      </c>
      <c r="D19" s="118">
        <f t="shared" si="6"/>
        <v>0</v>
      </c>
      <c r="E19" s="119" t="str">
        <f t="shared" si="0"/>
        <v>-</v>
      </c>
      <c r="F19" s="120">
        <f t="shared" si="3"/>
        <v>0</v>
      </c>
      <c r="G19" s="119" t="str">
        <f t="shared" si="1"/>
        <v>-</v>
      </c>
      <c r="H19" s="120">
        <f t="shared" si="4"/>
        <v>0</v>
      </c>
      <c r="I19" s="120">
        <f aca="true" t="shared" si="7" ref="I19:I61">IF(A18&lt;=$B$8,$I$12,0)</f>
        <v>0</v>
      </c>
      <c r="K19" s="121"/>
    </row>
    <row r="20" spans="1:9" ht="18" hidden="1">
      <c r="A20" s="115">
        <f t="shared" si="2"/>
        <v>9</v>
      </c>
      <c r="B20" s="116">
        <v>0</v>
      </c>
      <c r="C20" s="117">
        <v>0</v>
      </c>
      <c r="D20" s="118">
        <f t="shared" si="6"/>
        <v>0</v>
      </c>
      <c r="E20" s="119" t="str">
        <f t="shared" si="0"/>
        <v>-</v>
      </c>
      <c r="F20" s="120">
        <f t="shared" si="3"/>
        <v>0</v>
      </c>
      <c r="G20" s="119" t="str">
        <f t="shared" si="1"/>
        <v>-</v>
      </c>
      <c r="H20" s="120">
        <f t="shared" si="4"/>
        <v>0</v>
      </c>
      <c r="I20" s="120">
        <f t="shared" si="7"/>
        <v>0</v>
      </c>
    </row>
    <row r="21" spans="1:9" ht="18" hidden="1">
      <c r="A21" s="115">
        <f t="shared" si="2"/>
        <v>10</v>
      </c>
      <c r="B21" s="116">
        <v>0</v>
      </c>
      <c r="C21" s="117">
        <v>0</v>
      </c>
      <c r="D21" s="118">
        <f t="shared" si="6"/>
        <v>0</v>
      </c>
      <c r="E21" s="119" t="str">
        <f t="shared" si="0"/>
        <v>-</v>
      </c>
      <c r="F21" s="120">
        <f t="shared" si="3"/>
        <v>0</v>
      </c>
      <c r="G21" s="119" t="str">
        <f t="shared" si="1"/>
        <v>-</v>
      </c>
      <c r="H21" s="120">
        <f t="shared" si="4"/>
        <v>0</v>
      </c>
      <c r="I21" s="120">
        <f t="shared" si="7"/>
        <v>0</v>
      </c>
    </row>
    <row r="22" spans="1:9" ht="18" hidden="1">
      <c r="A22" s="115">
        <f t="shared" si="2"/>
        <v>11</v>
      </c>
      <c r="B22" s="116">
        <v>0</v>
      </c>
      <c r="C22" s="117">
        <v>0</v>
      </c>
      <c r="D22" s="118">
        <f t="shared" si="6"/>
        <v>0</v>
      </c>
      <c r="E22" s="119" t="str">
        <f t="shared" si="0"/>
        <v>-</v>
      </c>
      <c r="F22" s="120">
        <f t="shared" si="3"/>
        <v>0</v>
      </c>
      <c r="G22" s="119" t="str">
        <f t="shared" si="1"/>
        <v>-</v>
      </c>
      <c r="H22" s="120">
        <f t="shared" si="4"/>
        <v>0</v>
      </c>
      <c r="I22" s="120">
        <f t="shared" si="7"/>
        <v>0</v>
      </c>
    </row>
    <row r="23" spans="1:9" ht="18" hidden="1">
      <c r="A23" s="115">
        <f t="shared" si="2"/>
        <v>12</v>
      </c>
      <c r="B23" s="116">
        <v>0</v>
      </c>
      <c r="C23" s="117">
        <v>0</v>
      </c>
      <c r="D23" s="118">
        <f t="shared" si="6"/>
        <v>0</v>
      </c>
      <c r="E23" s="119" t="str">
        <f t="shared" si="0"/>
        <v>-</v>
      </c>
      <c r="F23" s="120">
        <f t="shared" si="3"/>
        <v>0</v>
      </c>
      <c r="G23" s="119" t="str">
        <f t="shared" si="1"/>
        <v>-</v>
      </c>
      <c r="H23" s="120">
        <f t="shared" si="4"/>
        <v>0</v>
      </c>
      <c r="I23" s="120">
        <f t="shared" si="7"/>
        <v>0</v>
      </c>
    </row>
    <row r="24" spans="1:11" ht="18" hidden="1">
      <c r="A24" s="115">
        <f t="shared" si="2"/>
        <v>13</v>
      </c>
      <c r="B24" s="116">
        <v>0</v>
      </c>
      <c r="C24" s="117">
        <v>0</v>
      </c>
      <c r="D24" s="118">
        <f t="shared" si="6"/>
        <v>0</v>
      </c>
      <c r="E24" s="119" t="str">
        <f t="shared" si="0"/>
        <v>-</v>
      </c>
      <c r="F24" s="120">
        <f t="shared" si="3"/>
        <v>0</v>
      </c>
      <c r="G24" s="119" t="str">
        <f t="shared" si="1"/>
        <v>-</v>
      </c>
      <c r="H24" s="120">
        <f t="shared" si="4"/>
        <v>0</v>
      </c>
      <c r="I24" s="120">
        <f t="shared" si="7"/>
        <v>0</v>
      </c>
      <c r="K24" s="121"/>
    </row>
    <row r="25" spans="1:9" ht="18" hidden="1">
      <c r="A25" s="115">
        <f t="shared" si="2"/>
        <v>14</v>
      </c>
      <c r="B25" s="116">
        <v>0</v>
      </c>
      <c r="C25" s="117">
        <v>0</v>
      </c>
      <c r="D25" s="118">
        <f t="shared" si="6"/>
        <v>0</v>
      </c>
      <c r="E25" s="119" t="str">
        <f t="shared" si="0"/>
        <v>-</v>
      </c>
      <c r="F25" s="120">
        <f t="shared" si="3"/>
        <v>0</v>
      </c>
      <c r="G25" s="119" t="str">
        <f t="shared" si="1"/>
        <v>-</v>
      </c>
      <c r="H25" s="120">
        <f t="shared" si="4"/>
        <v>0</v>
      </c>
      <c r="I25" s="120">
        <f t="shared" si="7"/>
        <v>0</v>
      </c>
    </row>
    <row r="26" spans="1:9" ht="18.75" hidden="1" thickBot="1">
      <c r="A26" s="122">
        <f t="shared" si="2"/>
        <v>15</v>
      </c>
      <c r="B26" s="123">
        <v>0</v>
      </c>
      <c r="C26" s="124">
        <v>0</v>
      </c>
      <c r="D26" s="125">
        <f t="shared" si="6"/>
        <v>0</v>
      </c>
      <c r="E26" s="126" t="str">
        <f t="shared" si="0"/>
        <v>-</v>
      </c>
      <c r="F26" s="127">
        <f t="shared" si="3"/>
        <v>0</v>
      </c>
      <c r="G26" s="126" t="str">
        <f t="shared" si="1"/>
        <v>-</v>
      </c>
      <c r="H26" s="127">
        <f t="shared" si="4"/>
        <v>0</v>
      </c>
      <c r="I26" s="127">
        <f t="shared" si="7"/>
        <v>0</v>
      </c>
    </row>
    <row r="27" spans="1:9" ht="18" hidden="1">
      <c r="A27" s="115">
        <f t="shared" si="2"/>
        <v>16</v>
      </c>
      <c r="B27" s="116">
        <v>0</v>
      </c>
      <c r="C27" s="117">
        <v>0</v>
      </c>
      <c r="D27" s="118">
        <f t="shared" si="6"/>
        <v>0</v>
      </c>
      <c r="E27" s="119" t="str">
        <f t="shared" si="0"/>
        <v>-</v>
      </c>
      <c r="F27" s="120">
        <f t="shared" si="3"/>
        <v>0</v>
      </c>
      <c r="G27" s="119" t="str">
        <f t="shared" si="1"/>
        <v>-</v>
      </c>
      <c r="H27" s="120">
        <f t="shared" si="4"/>
        <v>0</v>
      </c>
      <c r="I27" s="120">
        <f t="shared" si="7"/>
        <v>0</v>
      </c>
    </row>
    <row r="28" spans="1:9" ht="18" hidden="1">
      <c r="A28" s="115">
        <f t="shared" si="2"/>
        <v>17</v>
      </c>
      <c r="B28" s="116">
        <v>0</v>
      </c>
      <c r="C28" s="117">
        <v>0</v>
      </c>
      <c r="D28" s="118">
        <f t="shared" si="6"/>
        <v>0</v>
      </c>
      <c r="E28" s="119" t="str">
        <f t="shared" si="0"/>
        <v>-</v>
      </c>
      <c r="F28" s="120">
        <f t="shared" si="3"/>
        <v>0</v>
      </c>
      <c r="G28" s="119" t="str">
        <f t="shared" si="1"/>
        <v>-</v>
      </c>
      <c r="H28" s="120">
        <f t="shared" si="4"/>
        <v>0</v>
      </c>
      <c r="I28" s="120">
        <f t="shared" si="7"/>
        <v>0</v>
      </c>
    </row>
    <row r="29" spans="1:9" ht="18" hidden="1">
      <c r="A29" s="115">
        <f t="shared" si="2"/>
        <v>18</v>
      </c>
      <c r="B29" s="116">
        <v>0</v>
      </c>
      <c r="C29" s="117">
        <v>0</v>
      </c>
      <c r="D29" s="118">
        <f t="shared" si="6"/>
        <v>0</v>
      </c>
      <c r="E29" s="119" t="str">
        <f t="shared" si="0"/>
        <v>-</v>
      </c>
      <c r="F29" s="120">
        <f t="shared" si="3"/>
        <v>0</v>
      </c>
      <c r="G29" s="119" t="str">
        <f t="shared" si="1"/>
        <v>-</v>
      </c>
      <c r="H29" s="120">
        <f t="shared" si="4"/>
        <v>0</v>
      </c>
      <c r="I29" s="120">
        <f t="shared" si="7"/>
        <v>0</v>
      </c>
    </row>
    <row r="30" spans="1:9" ht="18" hidden="1">
      <c r="A30" s="115">
        <f t="shared" si="2"/>
        <v>19</v>
      </c>
      <c r="B30" s="116">
        <v>0</v>
      </c>
      <c r="C30" s="117">
        <v>0</v>
      </c>
      <c r="D30" s="118">
        <f t="shared" si="6"/>
        <v>0</v>
      </c>
      <c r="E30" s="119" t="str">
        <f t="shared" si="0"/>
        <v>-</v>
      </c>
      <c r="F30" s="120">
        <f t="shared" si="3"/>
        <v>0</v>
      </c>
      <c r="G30" s="119" t="str">
        <f t="shared" si="1"/>
        <v>-</v>
      </c>
      <c r="H30" s="120">
        <f t="shared" si="4"/>
        <v>0</v>
      </c>
      <c r="I30" s="120">
        <f t="shared" si="7"/>
        <v>0</v>
      </c>
    </row>
    <row r="31" spans="1:9" ht="18" hidden="1">
      <c r="A31" s="115">
        <f t="shared" si="2"/>
        <v>20</v>
      </c>
      <c r="B31" s="116">
        <v>0</v>
      </c>
      <c r="C31" s="117">
        <v>0</v>
      </c>
      <c r="D31" s="118">
        <f t="shared" si="6"/>
        <v>0</v>
      </c>
      <c r="E31" s="119" t="str">
        <f t="shared" si="0"/>
        <v>-</v>
      </c>
      <c r="F31" s="120">
        <f t="shared" si="3"/>
        <v>0</v>
      </c>
      <c r="G31" s="119" t="str">
        <f t="shared" si="1"/>
        <v>-</v>
      </c>
      <c r="H31" s="120">
        <f t="shared" si="4"/>
        <v>0</v>
      </c>
      <c r="I31" s="120">
        <f t="shared" si="7"/>
        <v>0</v>
      </c>
    </row>
    <row r="32" spans="1:9" ht="18" hidden="1">
      <c r="A32" s="115">
        <f t="shared" si="2"/>
        <v>21</v>
      </c>
      <c r="B32" s="116">
        <v>0</v>
      </c>
      <c r="C32" s="117">
        <v>0</v>
      </c>
      <c r="D32" s="118">
        <f t="shared" si="6"/>
        <v>0</v>
      </c>
      <c r="E32" s="119" t="str">
        <f t="shared" si="0"/>
        <v>-</v>
      </c>
      <c r="F32" s="120">
        <f t="shared" si="3"/>
        <v>0</v>
      </c>
      <c r="G32" s="119" t="str">
        <f t="shared" si="1"/>
        <v>-</v>
      </c>
      <c r="H32" s="120">
        <f t="shared" si="4"/>
        <v>0</v>
      </c>
      <c r="I32" s="120">
        <f t="shared" si="7"/>
        <v>0</v>
      </c>
    </row>
    <row r="33" spans="1:9" ht="18" hidden="1">
      <c r="A33" s="115">
        <f t="shared" si="2"/>
        <v>22</v>
      </c>
      <c r="B33" s="116">
        <v>0</v>
      </c>
      <c r="C33" s="117">
        <v>0</v>
      </c>
      <c r="D33" s="118">
        <f t="shared" si="6"/>
        <v>0</v>
      </c>
      <c r="E33" s="119" t="str">
        <f t="shared" si="0"/>
        <v>-</v>
      </c>
      <c r="F33" s="120">
        <f t="shared" si="3"/>
        <v>0</v>
      </c>
      <c r="G33" s="119" t="str">
        <f t="shared" si="1"/>
        <v>-</v>
      </c>
      <c r="H33" s="120">
        <f t="shared" si="4"/>
        <v>0</v>
      </c>
      <c r="I33" s="120">
        <f t="shared" si="7"/>
        <v>0</v>
      </c>
    </row>
    <row r="34" spans="1:9" ht="18" hidden="1">
      <c r="A34" s="115">
        <f t="shared" si="2"/>
        <v>23</v>
      </c>
      <c r="B34" s="116">
        <v>0</v>
      </c>
      <c r="C34" s="117">
        <v>0</v>
      </c>
      <c r="D34" s="118">
        <f t="shared" si="6"/>
        <v>0</v>
      </c>
      <c r="E34" s="119" t="str">
        <f t="shared" si="0"/>
        <v>-</v>
      </c>
      <c r="F34" s="120">
        <f t="shared" si="3"/>
        <v>0</v>
      </c>
      <c r="G34" s="119" t="str">
        <f t="shared" si="1"/>
        <v>-</v>
      </c>
      <c r="H34" s="120">
        <f t="shared" si="4"/>
        <v>0</v>
      </c>
      <c r="I34" s="120">
        <f t="shared" si="7"/>
        <v>0</v>
      </c>
    </row>
    <row r="35" spans="1:9" ht="18" hidden="1">
      <c r="A35" s="115">
        <f t="shared" si="2"/>
        <v>24</v>
      </c>
      <c r="B35" s="116">
        <v>0</v>
      </c>
      <c r="C35" s="117">
        <v>0</v>
      </c>
      <c r="D35" s="118">
        <f t="shared" si="6"/>
        <v>0</v>
      </c>
      <c r="E35" s="119" t="str">
        <f t="shared" si="0"/>
        <v>-</v>
      </c>
      <c r="F35" s="120">
        <f t="shared" si="3"/>
        <v>0</v>
      </c>
      <c r="G35" s="119" t="str">
        <f t="shared" si="1"/>
        <v>-</v>
      </c>
      <c r="H35" s="120">
        <f t="shared" si="4"/>
        <v>0</v>
      </c>
      <c r="I35" s="120">
        <f t="shared" si="7"/>
        <v>0</v>
      </c>
    </row>
    <row r="36" spans="1:9" ht="18" hidden="1">
      <c r="A36" s="115">
        <f t="shared" si="2"/>
        <v>25</v>
      </c>
      <c r="B36" s="116">
        <v>0</v>
      </c>
      <c r="C36" s="117">
        <v>0</v>
      </c>
      <c r="D36" s="118">
        <f t="shared" si="6"/>
        <v>0</v>
      </c>
      <c r="E36" s="119" t="str">
        <f t="shared" si="0"/>
        <v>-</v>
      </c>
      <c r="F36" s="120">
        <f t="shared" si="3"/>
        <v>0</v>
      </c>
      <c r="G36" s="119" t="str">
        <f t="shared" si="1"/>
        <v>-</v>
      </c>
      <c r="H36" s="120">
        <f t="shared" si="4"/>
        <v>0</v>
      </c>
      <c r="I36" s="120">
        <f t="shared" si="7"/>
        <v>0</v>
      </c>
    </row>
    <row r="37" spans="1:9" ht="18" hidden="1">
      <c r="A37" s="115">
        <f t="shared" si="2"/>
        <v>26</v>
      </c>
      <c r="B37" s="116">
        <v>0</v>
      </c>
      <c r="C37" s="117">
        <v>0</v>
      </c>
      <c r="D37" s="118">
        <f t="shared" si="6"/>
        <v>0</v>
      </c>
      <c r="E37" s="119" t="str">
        <f t="shared" si="0"/>
        <v>-</v>
      </c>
      <c r="F37" s="120">
        <f t="shared" si="3"/>
        <v>0</v>
      </c>
      <c r="G37" s="119" t="str">
        <f t="shared" si="1"/>
        <v>-</v>
      </c>
      <c r="H37" s="120">
        <f t="shared" si="4"/>
        <v>0</v>
      </c>
      <c r="I37" s="120">
        <f t="shared" si="7"/>
        <v>0</v>
      </c>
    </row>
    <row r="38" spans="1:9" ht="18" hidden="1">
      <c r="A38" s="115">
        <f t="shared" si="2"/>
        <v>27</v>
      </c>
      <c r="B38" s="116">
        <v>0</v>
      </c>
      <c r="C38" s="117">
        <v>0</v>
      </c>
      <c r="D38" s="118">
        <f t="shared" si="6"/>
        <v>0</v>
      </c>
      <c r="E38" s="119" t="str">
        <f t="shared" si="0"/>
        <v>-</v>
      </c>
      <c r="F38" s="120">
        <f t="shared" si="3"/>
        <v>0</v>
      </c>
      <c r="G38" s="119" t="str">
        <f t="shared" si="1"/>
        <v>-</v>
      </c>
      <c r="H38" s="120">
        <f t="shared" si="4"/>
        <v>0</v>
      </c>
      <c r="I38" s="120">
        <f t="shared" si="7"/>
        <v>0</v>
      </c>
    </row>
    <row r="39" spans="1:9" ht="18" hidden="1">
      <c r="A39" s="115">
        <f t="shared" si="2"/>
        <v>28</v>
      </c>
      <c r="B39" s="116">
        <v>0</v>
      </c>
      <c r="C39" s="117">
        <v>0</v>
      </c>
      <c r="D39" s="118">
        <f t="shared" si="6"/>
        <v>0</v>
      </c>
      <c r="E39" s="119" t="str">
        <f t="shared" si="0"/>
        <v>-</v>
      </c>
      <c r="F39" s="120">
        <f t="shared" si="3"/>
        <v>0</v>
      </c>
      <c r="G39" s="119" t="str">
        <f t="shared" si="1"/>
        <v>-</v>
      </c>
      <c r="H39" s="120">
        <f t="shared" si="4"/>
        <v>0</v>
      </c>
      <c r="I39" s="120">
        <f t="shared" si="7"/>
        <v>0</v>
      </c>
    </row>
    <row r="40" spans="1:9" ht="18" hidden="1">
      <c r="A40" s="115">
        <f t="shared" si="2"/>
        <v>29</v>
      </c>
      <c r="B40" s="116">
        <v>0</v>
      </c>
      <c r="C40" s="117">
        <v>0</v>
      </c>
      <c r="D40" s="118">
        <f t="shared" si="6"/>
        <v>0</v>
      </c>
      <c r="E40" s="119" t="str">
        <f t="shared" si="0"/>
        <v>-</v>
      </c>
      <c r="F40" s="120">
        <f t="shared" si="3"/>
        <v>0</v>
      </c>
      <c r="G40" s="119" t="str">
        <f t="shared" si="1"/>
        <v>-</v>
      </c>
      <c r="H40" s="120">
        <f t="shared" si="4"/>
        <v>0</v>
      </c>
      <c r="I40" s="120">
        <f t="shared" si="7"/>
        <v>0</v>
      </c>
    </row>
    <row r="41" spans="1:9" ht="18" hidden="1">
      <c r="A41" s="115">
        <f t="shared" si="2"/>
        <v>30</v>
      </c>
      <c r="B41" s="116">
        <v>0</v>
      </c>
      <c r="C41" s="117">
        <v>0</v>
      </c>
      <c r="D41" s="118">
        <f t="shared" si="6"/>
        <v>0</v>
      </c>
      <c r="E41" s="119" t="str">
        <f t="shared" si="0"/>
        <v>-</v>
      </c>
      <c r="F41" s="120">
        <f t="shared" si="3"/>
        <v>0</v>
      </c>
      <c r="G41" s="119" t="str">
        <f t="shared" si="1"/>
        <v>-</v>
      </c>
      <c r="H41" s="120">
        <f t="shared" si="4"/>
        <v>0</v>
      </c>
      <c r="I41" s="120">
        <f t="shared" si="7"/>
        <v>0</v>
      </c>
    </row>
    <row r="42" spans="1:9" ht="18" hidden="1">
      <c r="A42" s="115">
        <f t="shared" si="2"/>
        <v>31</v>
      </c>
      <c r="B42" s="116">
        <v>0</v>
      </c>
      <c r="C42" s="117">
        <v>0</v>
      </c>
      <c r="D42" s="118">
        <f t="shared" si="6"/>
        <v>0</v>
      </c>
      <c r="E42" s="119" t="str">
        <f t="shared" si="0"/>
        <v>-</v>
      </c>
      <c r="F42" s="120">
        <f t="shared" si="3"/>
        <v>0</v>
      </c>
      <c r="G42" s="119" t="str">
        <f t="shared" si="1"/>
        <v>-</v>
      </c>
      <c r="H42" s="120">
        <f t="shared" si="4"/>
        <v>0</v>
      </c>
      <c r="I42" s="120">
        <f t="shared" si="7"/>
        <v>0</v>
      </c>
    </row>
    <row r="43" spans="1:9" ht="18" hidden="1">
      <c r="A43" s="115">
        <f t="shared" si="2"/>
        <v>32</v>
      </c>
      <c r="B43" s="116">
        <v>0</v>
      </c>
      <c r="C43" s="117">
        <v>0</v>
      </c>
      <c r="D43" s="118">
        <f t="shared" si="6"/>
        <v>0</v>
      </c>
      <c r="E43" s="119" t="str">
        <f aca="true" t="shared" si="8" ref="E43:E61">IF(A43&lt;=$B$8,POWER((1+$B$9),(A43*-1)),"-")</f>
        <v>-</v>
      </c>
      <c r="F43" s="120">
        <f t="shared" si="3"/>
        <v>0</v>
      </c>
      <c r="G43" s="119" t="str">
        <f aca="true" t="shared" si="9" ref="G43:G61">IF(A43&lt;=$B$8,POWER((1+$F$64),(A43*-1)),"-")</f>
        <v>-</v>
      </c>
      <c r="H43" s="120">
        <f t="shared" si="4"/>
        <v>0</v>
      </c>
      <c r="I43" s="120">
        <f t="shared" si="7"/>
        <v>0</v>
      </c>
    </row>
    <row r="44" spans="1:9" ht="18" hidden="1">
      <c r="A44" s="115">
        <f aca="true" t="shared" si="10" ref="A44:A61">A43+1</f>
        <v>33</v>
      </c>
      <c r="B44" s="116">
        <v>0</v>
      </c>
      <c r="C44" s="117">
        <v>0</v>
      </c>
      <c r="D44" s="118">
        <f t="shared" si="6"/>
        <v>0</v>
      </c>
      <c r="E44" s="119" t="str">
        <f t="shared" si="8"/>
        <v>-</v>
      </c>
      <c r="F44" s="120">
        <f aca="true" t="shared" si="11" ref="F44:F61">PV($B$9,A44,0,D44)*-1</f>
        <v>0</v>
      </c>
      <c r="G44" s="119" t="str">
        <f t="shared" si="9"/>
        <v>-</v>
      </c>
      <c r="H44" s="120">
        <f aca="true" t="shared" si="12" ref="H44:H61">PV($F$64,A44,0,D44)*-1</f>
        <v>0</v>
      </c>
      <c r="I44" s="120">
        <f t="shared" si="7"/>
        <v>0</v>
      </c>
    </row>
    <row r="45" spans="1:9" ht="18" hidden="1">
      <c r="A45" s="115">
        <f t="shared" si="10"/>
        <v>34</v>
      </c>
      <c r="B45" s="116">
        <v>0</v>
      </c>
      <c r="C45" s="117">
        <v>0</v>
      </c>
      <c r="D45" s="118">
        <f t="shared" si="6"/>
        <v>0</v>
      </c>
      <c r="E45" s="119" t="str">
        <f t="shared" si="8"/>
        <v>-</v>
      </c>
      <c r="F45" s="120">
        <f t="shared" si="11"/>
        <v>0</v>
      </c>
      <c r="G45" s="119" t="str">
        <f t="shared" si="9"/>
        <v>-</v>
      </c>
      <c r="H45" s="120">
        <f t="shared" si="12"/>
        <v>0</v>
      </c>
      <c r="I45" s="120">
        <f t="shared" si="7"/>
        <v>0</v>
      </c>
    </row>
    <row r="46" spans="1:9" ht="18" hidden="1">
      <c r="A46" s="115">
        <f t="shared" si="10"/>
        <v>35</v>
      </c>
      <c r="B46" s="116">
        <v>0</v>
      </c>
      <c r="C46" s="117">
        <v>0</v>
      </c>
      <c r="D46" s="118">
        <f t="shared" si="6"/>
        <v>0</v>
      </c>
      <c r="E46" s="119" t="str">
        <f t="shared" si="8"/>
        <v>-</v>
      </c>
      <c r="F46" s="120">
        <f t="shared" si="11"/>
        <v>0</v>
      </c>
      <c r="G46" s="119" t="str">
        <f t="shared" si="9"/>
        <v>-</v>
      </c>
      <c r="H46" s="120">
        <f t="shared" si="12"/>
        <v>0</v>
      </c>
      <c r="I46" s="120">
        <f t="shared" si="7"/>
        <v>0</v>
      </c>
    </row>
    <row r="47" spans="1:9" ht="18" hidden="1">
      <c r="A47" s="115">
        <f t="shared" si="10"/>
        <v>36</v>
      </c>
      <c r="B47" s="116">
        <v>0</v>
      </c>
      <c r="C47" s="117">
        <v>0</v>
      </c>
      <c r="D47" s="118">
        <f t="shared" si="6"/>
        <v>0</v>
      </c>
      <c r="E47" s="119" t="str">
        <f t="shared" si="8"/>
        <v>-</v>
      </c>
      <c r="F47" s="120">
        <f t="shared" si="11"/>
        <v>0</v>
      </c>
      <c r="G47" s="119" t="str">
        <f t="shared" si="9"/>
        <v>-</v>
      </c>
      <c r="H47" s="120">
        <f t="shared" si="12"/>
        <v>0</v>
      </c>
      <c r="I47" s="120">
        <f t="shared" si="7"/>
        <v>0</v>
      </c>
    </row>
    <row r="48" spans="1:9" ht="18" hidden="1">
      <c r="A48" s="115">
        <f t="shared" si="10"/>
        <v>37</v>
      </c>
      <c r="B48" s="116">
        <v>0</v>
      </c>
      <c r="C48" s="117">
        <v>0</v>
      </c>
      <c r="D48" s="118">
        <f t="shared" si="6"/>
        <v>0</v>
      </c>
      <c r="E48" s="119" t="str">
        <f t="shared" si="8"/>
        <v>-</v>
      </c>
      <c r="F48" s="120">
        <f t="shared" si="11"/>
        <v>0</v>
      </c>
      <c r="G48" s="119" t="str">
        <f t="shared" si="9"/>
        <v>-</v>
      </c>
      <c r="H48" s="120">
        <f t="shared" si="12"/>
        <v>0</v>
      </c>
      <c r="I48" s="120">
        <f t="shared" si="7"/>
        <v>0</v>
      </c>
    </row>
    <row r="49" spans="1:9" ht="18" hidden="1">
      <c r="A49" s="115">
        <f t="shared" si="10"/>
        <v>38</v>
      </c>
      <c r="B49" s="116">
        <v>0</v>
      </c>
      <c r="C49" s="117">
        <v>0</v>
      </c>
      <c r="D49" s="118">
        <f t="shared" si="6"/>
        <v>0</v>
      </c>
      <c r="E49" s="119" t="str">
        <f t="shared" si="8"/>
        <v>-</v>
      </c>
      <c r="F49" s="120">
        <f t="shared" si="11"/>
        <v>0</v>
      </c>
      <c r="G49" s="119" t="str">
        <f t="shared" si="9"/>
        <v>-</v>
      </c>
      <c r="H49" s="120">
        <f t="shared" si="12"/>
        <v>0</v>
      </c>
      <c r="I49" s="120">
        <f t="shared" si="7"/>
        <v>0</v>
      </c>
    </row>
    <row r="50" spans="1:9" ht="18" hidden="1">
      <c r="A50" s="115">
        <f t="shared" si="10"/>
        <v>39</v>
      </c>
      <c r="B50" s="116">
        <v>0</v>
      </c>
      <c r="C50" s="117">
        <v>0</v>
      </c>
      <c r="D50" s="118">
        <f t="shared" si="6"/>
        <v>0</v>
      </c>
      <c r="E50" s="119" t="str">
        <f t="shared" si="8"/>
        <v>-</v>
      </c>
      <c r="F50" s="120">
        <f t="shared" si="11"/>
        <v>0</v>
      </c>
      <c r="G50" s="119" t="str">
        <f t="shared" si="9"/>
        <v>-</v>
      </c>
      <c r="H50" s="120">
        <f t="shared" si="12"/>
        <v>0</v>
      </c>
      <c r="I50" s="120">
        <f t="shared" si="7"/>
        <v>0</v>
      </c>
    </row>
    <row r="51" spans="1:9" ht="18" hidden="1">
      <c r="A51" s="115">
        <f t="shared" si="10"/>
        <v>40</v>
      </c>
      <c r="B51" s="116">
        <v>0</v>
      </c>
      <c r="C51" s="117">
        <v>0</v>
      </c>
      <c r="D51" s="118">
        <f t="shared" si="6"/>
        <v>0</v>
      </c>
      <c r="E51" s="119" t="str">
        <f t="shared" si="8"/>
        <v>-</v>
      </c>
      <c r="F51" s="120">
        <f t="shared" si="11"/>
        <v>0</v>
      </c>
      <c r="G51" s="119" t="str">
        <f t="shared" si="9"/>
        <v>-</v>
      </c>
      <c r="H51" s="120">
        <f t="shared" si="12"/>
        <v>0</v>
      </c>
      <c r="I51" s="120">
        <f t="shared" si="7"/>
        <v>0</v>
      </c>
    </row>
    <row r="52" spans="1:9" ht="18" hidden="1">
      <c r="A52" s="115">
        <f t="shared" si="10"/>
        <v>41</v>
      </c>
      <c r="B52" s="116">
        <v>0</v>
      </c>
      <c r="C52" s="117">
        <v>0</v>
      </c>
      <c r="D52" s="118">
        <f t="shared" si="6"/>
        <v>0</v>
      </c>
      <c r="E52" s="119" t="str">
        <f t="shared" si="8"/>
        <v>-</v>
      </c>
      <c r="F52" s="120">
        <f t="shared" si="11"/>
        <v>0</v>
      </c>
      <c r="G52" s="119" t="str">
        <f t="shared" si="9"/>
        <v>-</v>
      </c>
      <c r="H52" s="120">
        <f t="shared" si="12"/>
        <v>0</v>
      </c>
      <c r="I52" s="120">
        <f t="shared" si="7"/>
        <v>0</v>
      </c>
    </row>
    <row r="53" spans="1:9" ht="18" hidden="1">
      <c r="A53" s="115">
        <f t="shared" si="10"/>
        <v>42</v>
      </c>
      <c r="B53" s="116">
        <v>0</v>
      </c>
      <c r="C53" s="117">
        <v>0</v>
      </c>
      <c r="D53" s="118">
        <f t="shared" si="6"/>
        <v>0</v>
      </c>
      <c r="E53" s="119" t="str">
        <f t="shared" si="8"/>
        <v>-</v>
      </c>
      <c r="F53" s="120">
        <f t="shared" si="11"/>
        <v>0</v>
      </c>
      <c r="G53" s="119" t="str">
        <f t="shared" si="9"/>
        <v>-</v>
      </c>
      <c r="H53" s="120">
        <f t="shared" si="12"/>
        <v>0</v>
      </c>
      <c r="I53" s="120">
        <f t="shared" si="7"/>
        <v>0</v>
      </c>
    </row>
    <row r="54" spans="1:9" ht="18" hidden="1">
      <c r="A54" s="115">
        <f t="shared" si="10"/>
        <v>43</v>
      </c>
      <c r="B54" s="116">
        <v>0</v>
      </c>
      <c r="C54" s="117">
        <v>0</v>
      </c>
      <c r="D54" s="118">
        <f t="shared" si="6"/>
        <v>0</v>
      </c>
      <c r="E54" s="119" t="str">
        <f t="shared" si="8"/>
        <v>-</v>
      </c>
      <c r="F54" s="120">
        <f t="shared" si="11"/>
        <v>0</v>
      </c>
      <c r="G54" s="119" t="str">
        <f t="shared" si="9"/>
        <v>-</v>
      </c>
      <c r="H54" s="120">
        <f t="shared" si="12"/>
        <v>0</v>
      </c>
      <c r="I54" s="120">
        <f t="shared" si="7"/>
        <v>0</v>
      </c>
    </row>
    <row r="55" spans="1:9" ht="18" hidden="1">
      <c r="A55" s="115">
        <f t="shared" si="10"/>
        <v>44</v>
      </c>
      <c r="B55" s="116">
        <v>0</v>
      </c>
      <c r="C55" s="117">
        <v>0</v>
      </c>
      <c r="D55" s="118">
        <f t="shared" si="6"/>
        <v>0</v>
      </c>
      <c r="E55" s="119" t="str">
        <f t="shared" si="8"/>
        <v>-</v>
      </c>
      <c r="F55" s="120">
        <f t="shared" si="11"/>
        <v>0</v>
      </c>
      <c r="G55" s="119" t="str">
        <f t="shared" si="9"/>
        <v>-</v>
      </c>
      <c r="H55" s="120">
        <f t="shared" si="12"/>
        <v>0</v>
      </c>
      <c r="I55" s="120">
        <f t="shared" si="7"/>
        <v>0</v>
      </c>
    </row>
    <row r="56" spans="1:9" ht="18" hidden="1">
      <c r="A56" s="115">
        <f t="shared" si="10"/>
        <v>45</v>
      </c>
      <c r="B56" s="116">
        <v>0</v>
      </c>
      <c r="C56" s="117">
        <v>0</v>
      </c>
      <c r="D56" s="118">
        <f t="shared" si="6"/>
        <v>0</v>
      </c>
      <c r="E56" s="119" t="str">
        <f t="shared" si="8"/>
        <v>-</v>
      </c>
      <c r="F56" s="120">
        <f t="shared" si="11"/>
        <v>0</v>
      </c>
      <c r="G56" s="119" t="str">
        <f t="shared" si="9"/>
        <v>-</v>
      </c>
      <c r="H56" s="120">
        <f t="shared" si="12"/>
        <v>0</v>
      </c>
      <c r="I56" s="120">
        <f t="shared" si="7"/>
        <v>0</v>
      </c>
    </row>
    <row r="57" spans="1:9" ht="18" hidden="1">
      <c r="A57" s="115">
        <f t="shared" si="10"/>
        <v>46</v>
      </c>
      <c r="B57" s="116">
        <v>0</v>
      </c>
      <c r="C57" s="117">
        <v>0</v>
      </c>
      <c r="D57" s="118">
        <f t="shared" si="6"/>
        <v>0</v>
      </c>
      <c r="E57" s="119" t="str">
        <f t="shared" si="8"/>
        <v>-</v>
      </c>
      <c r="F57" s="120">
        <f t="shared" si="11"/>
        <v>0</v>
      </c>
      <c r="G57" s="119" t="str">
        <f t="shared" si="9"/>
        <v>-</v>
      </c>
      <c r="H57" s="120">
        <f t="shared" si="12"/>
        <v>0</v>
      </c>
      <c r="I57" s="120">
        <f t="shared" si="7"/>
        <v>0</v>
      </c>
    </row>
    <row r="58" spans="1:9" ht="18" hidden="1">
      <c r="A58" s="115">
        <f t="shared" si="10"/>
        <v>47</v>
      </c>
      <c r="B58" s="116">
        <v>0</v>
      </c>
      <c r="C58" s="117">
        <v>0</v>
      </c>
      <c r="D58" s="118">
        <f t="shared" si="6"/>
        <v>0</v>
      </c>
      <c r="E58" s="119" t="str">
        <f t="shared" si="8"/>
        <v>-</v>
      </c>
      <c r="F58" s="120">
        <f t="shared" si="11"/>
        <v>0</v>
      </c>
      <c r="G58" s="119" t="str">
        <f t="shared" si="9"/>
        <v>-</v>
      </c>
      <c r="H58" s="120">
        <f t="shared" si="12"/>
        <v>0</v>
      </c>
      <c r="I58" s="120">
        <f t="shared" si="7"/>
        <v>0</v>
      </c>
    </row>
    <row r="59" spans="1:9" ht="18" hidden="1">
      <c r="A59" s="115">
        <f t="shared" si="10"/>
        <v>48</v>
      </c>
      <c r="B59" s="116">
        <v>0</v>
      </c>
      <c r="C59" s="117">
        <v>0</v>
      </c>
      <c r="D59" s="118">
        <f t="shared" si="6"/>
        <v>0</v>
      </c>
      <c r="E59" s="119" t="str">
        <f t="shared" si="8"/>
        <v>-</v>
      </c>
      <c r="F59" s="120">
        <f t="shared" si="11"/>
        <v>0</v>
      </c>
      <c r="G59" s="119" t="str">
        <f t="shared" si="9"/>
        <v>-</v>
      </c>
      <c r="H59" s="120">
        <f t="shared" si="12"/>
        <v>0</v>
      </c>
      <c r="I59" s="120">
        <f t="shared" si="7"/>
        <v>0</v>
      </c>
    </row>
    <row r="60" spans="1:9" ht="18" hidden="1">
      <c r="A60" s="115">
        <f t="shared" si="10"/>
        <v>49</v>
      </c>
      <c r="B60" s="116">
        <v>0</v>
      </c>
      <c r="C60" s="117">
        <v>0</v>
      </c>
      <c r="D60" s="118">
        <f t="shared" si="6"/>
        <v>0</v>
      </c>
      <c r="E60" s="119" t="str">
        <f t="shared" si="8"/>
        <v>-</v>
      </c>
      <c r="F60" s="120">
        <f t="shared" si="11"/>
        <v>0</v>
      </c>
      <c r="G60" s="119" t="str">
        <f t="shared" si="9"/>
        <v>-</v>
      </c>
      <c r="H60" s="120">
        <f t="shared" si="12"/>
        <v>0</v>
      </c>
      <c r="I60" s="120">
        <f t="shared" si="7"/>
        <v>0</v>
      </c>
    </row>
    <row r="61" spans="1:9" ht="18.75" hidden="1" thickBot="1">
      <c r="A61" s="122">
        <f t="shared" si="10"/>
        <v>50</v>
      </c>
      <c r="B61" s="123">
        <v>0</v>
      </c>
      <c r="C61" s="124">
        <v>0</v>
      </c>
      <c r="D61" s="125">
        <f t="shared" si="6"/>
        <v>0</v>
      </c>
      <c r="E61" s="126" t="str">
        <f t="shared" si="8"/>
        <v>-</v>
      </c>
      <c r="F61" s="127">
        <f t="shared" si="11"/>
        <v>0</v>
      </c>
      <c r="G61" s="126" t="str">
        <f t="shared" si="9"/>
        <v>-</v>
      </c>
      <c r="H61" s="127">
        <f t="shared" si="12"/>
        <v>0</v>
      </c>
      <c r="I61" s="127">
        <f t="shared" si="7"/>
        <v>0</v>
      </c>
    </row>
    <row r="62" spans="1:9" ht="18.75" thickBot="1">
      <c r="A62" s="128" t="s">
        <v>97</v>
      </c>
      <c r="B62" s="129"/>
      <c r="C62" s="129"/>
      <c r="D62" s="129"/>
      <c r="E62" s="129"/>
      <c r="F62" s="130">
        <f>SUM(F11:F61)</f>
        <v>0.006790123647078872</v>
      </c>
      <c r="G62" s="131"/>
      <c r="H62" s="132">
        <f>SUM(H11:H61)</f>
        <v>9.313225746154785E-10</v>
      </c>
      <c r="I62" s="133"/>
    </row>
    <row r="63" spans="1:9" ht="18.75" thickBot="1">
      <c r="A63" s="134" t="s">
        <v>98</v>
      </c>
      <c r="B63" s="135"/>
      <c r="C63" s="135"/>
      <c r="D63" s="135"/>
      <c r="E63" s="135"/>
      <c r="F63" s="136">
        <f>I12</f>
        <v>0.0026229508931786046</v>
      </c>
      <c r="G63" s="137"/>
      <c r="H63" s="137"/>
      <c r="I63" s="133"/>
    </row>
    <row r="64" spans="1:9" ht="18.75" thickBot="1">
      <c r="A64" s="138" t="s">
        <v>99</v>
      </c>
      <c r="B64" s="139"/>
      <c r="C64" s="139"/>
      <c r="D64" s="139"/>
      <c r="E64" s="139"/>
      <c r="F64" s="140">
        <f>IRR(D11:D61)</f>
        <v>0.20000000060084677</v>
      </c>
      <c r="G64" s="141"/>
      <c r="H64" s="141"/>
      <c r="I64" s="133"/>
    </row>
    <row r="65" spans="1:9" ht="18.75" thickBot="1">
      <c r="A65" s="128" t="s">
        <v>100</v>
      </c>
      <c r="B65" s="129"/>
      <c r="C65" s="129"/>
      <c r="D65" s="129"/>
      <c r="E65" s="129"/>
      <c r="F65" s="142">
        <f>NPER(B9,F67,F11,0)</f>
        <v>3.999999993082417</v>
      </c>
      <c r="G65" s="143"/>
      <c r="H65" s="143"/>
      <c r="I65" s="133"/>
    </row>
    <row r="66" spans="1:8" ht="12.75" hidden="1">
      <c r="A66" s="144" t="s">
        <v>101</v>
      </c>
      <c r="F66" s="145">
        <f>SUM(F12:F61)</f>
        <v>5780000.006790124</v>
      </c>
      <c r="G66" s="145"/>
      <c r="H66" s="145"/>
    </row>
    <row r="67" spans="1:8" ht="12.75" hidden="1">
      <c r="A67" s="144" t="s">
        <v>102</v>
      </c>
      <c r="F67" s="146">
        <f>PMT(B9,B8,F66,0)*-1</f>
        <v>2232751.1203576755</v>
      </c>
      <c r="G67" s="146"/>
      <c r="H67" s="146"/>
    </row>
    <row r="69" ht="18">
      <c r="A69" s="147" t="s">
        <v>103</v>
      </c>
    </row>
    <row r="70" spans="1:6" ht="78" customHeight="1">
      <c r="A70" s="407" t="s">
        <v>108</v>
      </c>
      <c r="B70" s="407"/>
      <c r="C70" s="407"/>
      <c r="D70" s="407"/>
      <c r="E70" s="407"/>
      <c r="F70" s="407"/>
    </row>
    <row r="71" spans="1:2" ht="12.75">
      <c r="A71" s="30"/>
      <c r="B71" s="30"/>
    </row>
    <row r="72" spans="1:2" ht="12.75">
      <c r="A72" s="30"/>
      <c r="B72" s="30"/>
    </row>
  </sheetData>
  <mergeCells count="2">
    <mergeCell ref="A1:C1"/>
    <mergeCell ref="A70:F70"/>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workbookViewId="0" topLeftCell="A13">
      <selection activeCell="A82" sqref="A82"/>
    </sheetView>
  </sheetViews>
  <sheetFormatPr defaultColWidth="9.140625" defaultRowHeight="12.75"/>
  <cols>
    <col min="1" max="1" width="9.28125" style="0" customWidth="1"/>
    <col min="2" max="2" width="16.140625" style="0" customWidth="1"/>
    <col min="3" max="3" width="20.7109375" style="0" customWidth="1"/>
    <col min="4" max="4" width="28.28125" style="0" customWidth="1"/>
    <col min="5" max="5" width="27.7109375" style="0" customWidth="1"/>
    <col min="6" max="6" width="28.28125" style="0" customWidth="1"/>
    <col min="7" max="7" width="24.7109375" style="0" hidden="1" customWidth="1"/>
    <col min="8" max="8" width="24.8515625" style="0" customWidth="1"/>
    <col min="9" max="9" width="24.140625" style="0" customWidth="1"/>
  </cols>
  <sheetData>
    <row r="1" spans="1:3" ht="18">
      <c r="A1" s="405" t="s">
        <v>87</v>
      </c>
      <c r="B1" s="406"/>
      <c r="C1" s="406"/>
    </row>
    <row r="2" spans="1:4" ht="18">
      <c r="A2" s="100" t="s">
        <v>88</v>
      </c>
      <c r="B2" s="20"/>
      <c r="C2" s="20"/>
      <c r="D2" s="101">
        <v>5700000</v>
      </c>
    </row>
    <row r="3" spans="1:4" ht="18">
      <c r="A3" s="102" t="s">
        <v>89</v>
      </c>
      <c r="B3" s="20"/>
      <c r="C3" s="20"/>
      <c r="D3" s="101">
        <v>80000</v>
      </c>
    </row>
    <row r="4" spans="1:4" ht="18">
      <c r="A4" s="100" t="s">
        <v>90</v>
      </c>
      <c r="B4" s="20"/>
      <c r="C4" s="20"/>
      <c r="D4" s="101">
        <f>D2+D3</f>
        <v>5780000</v>
      </c>
    </row>
    <row r="5" spans="1:3" ht="18">
      <c r="A5" s="100"/>
      <c r="B5" s="20"/>
      <c r="C5" s="20"/>
    </row>
    <row r="6" spans="1:3" ht="18">
      <c r="A6" s="100" t="s">
        <v>109</v>
      </c>
      <c r="B6" s="20"/>
      <c r="C6" s="20"/>
    </row>
    <row r="7" spans="1:4" ht="18">
      <c r="A7" s="100" t="s">
        <v>110</v>
      </c>
      <c r="B7" s="20"/>
      <c r="C7" s="20"/>
      <c r="D7" s="101">
        <v>500000</v>
      </c>
    </row>
    <row r="8" spans="1:4" ht="18">
      <c r="A8" s="100" t="s">
        <v>111</v>
      </c>
      <c r="B8" s="20"/>
      <c r="C8" s="20"/>
      <c r="D8" s="101">
        <f>-86446.76/E20</f>
        <v>-179256.00153599997</v>
      </c>
    </row>
    <row r="9" spans="1:4" ht="18">
      <c r="A9" s="100" t="s">
        <v>113</v>
      </c>
      <c r="B9" s="20"/>
      <c r="C9" s="20"/>
      <c r="D9" s="101">
        <f>D7+D8</f>
        <v>320743.99846400006</v>
      </c>
    </row>
    <row r="10" spans="1:4" ht="18">
      <c r="A10" s="100" t="s">
        <v>112</v>
      </c>
      <c r="B10" s="20"/>
      <c r="C10" s="20"/>
      <c r="D10" s="101">
        <v>2273000</v>
      </c>
    </row>
    <row r="11" spans="1:4" ht="18">
      <c r="A11" s="100"/>
      <c r="B11" s="20"/>
      <c r="C11" s="20"/>
      <c r="D11" s="101">
        <f>D9+D10</f>
        <v>2593743.998464</v>
      </c>
    </row>
    <row r="12" ht="18">
      <c r="A12" s="2"/>
    </row>
    <row r="13" spans="1:2" ht="15.75">
      <c r="A13" s="9" t="s">
        <v>91</v>
      </c>
      <c r="B13" s="103">
        <v>4</v>
      </c>
    </row>
    <row r="14" spans="1:2" ht="16.5" thickBot="1">
      <c r="A14" s="9" t="s">
        <v>92</v>
      </c>
      <c r="B14" s="104">
        <v>0.2</v>
      </c>
    </row>
    <row r="15" spans="1:9" ht="64.5" customHeight="1" thickBot="1">
      <c r="A15" s="105" t="s">
        <v>93</v>
      </c>
      <c r="B15" s="106" t="s">
        <v>94</v>
      </c>
      <c r="C15" s="107" t="s">
        <v>95</v>
      </c>
      <c r="D15" s="105" t="s">
        <v>96</v>
      </c>
      <c r="E15" s="108" t="s">
        <v>104</v>
      </c>
      <c r="F15" s="105" t="s">
        <v>105</v>
      </c>
      <c r="G15" s="105" t="s">
        <v>106</v>
      </c>
      <c r="H15" s="108" t="str">
        <f>CONCATENATE("Nutidsværdien ved den interne rente (IRR) ",(ROUND(F69,4)*100)," %")</f>
        <v>Nutidsværdien ved den interne rente (IRR) 20 %</v>
      </c>
      <c r="I15" s="108" t="s">
        <v>107</v>
      </c>
    </row>
    <row r="16" spans="1:9" ht="18">
      <c r="A16" s="109">
        <v>0</v>
      </c>
      <c r="B16" s="110">
        <v>0</v>
      </c>
      <c r="C16" s="111">
        <f>D4</f>
        <v>5780000</v>
      </c>
      <c r="D16" s="112">
        <f>B16-C16</f>
        <v>-5780000</v>
      </c>
      <c r="E16" s="113">
        <f aca="true" t="shared" si="0" ref="E16:E47">IF(A16&lt;=$B$13,POWER((1+$B$14),(A16*-1)),"-")</f>
        <v>1</v>
      </c>
      <c r="F16" s="114">
        <f>D16</f>
        <v>-5780000</v>
      </c>
      <c r="G16" s="113">
        <f aca="true" t="shared" si="1" ref="G16:G47">IF(A16&lt;=$B$13,POWER((1+$F$69),(A16*-1)),"-")</f>
        <v>1</v>
      </c>
      <c r="H16" s="114">
        <f>F16</f>
        <v>-5780000</v>
      </c>
      <c r="I16" s="109"/>
    </row>
    <row r="17" spans="1:9" ht="18">
      <c r="A17" s="115">
        <f aca="true" t="shared" si="2" ref="A17:A48">A16+1</f>
        <v>1</v>
      </c>
      <c r="B17" s="116">
        <v>2273000</v>
      </c>
      <c r="C17" s="117">
        <v>100000</v>
      </c>
      <c r="D17" s="118">
        <f>B17-C17</f>
        <v>2173000</v>
      </c>
      <c r="E17" s="119">
        <f t="shared" si="0"/>
        <v>0.8333333333333334</v>
      </c>
      <c r="F17" s="120">
        <f aca="true" t="shared" si="3" ref="F17:F48">PV($B$14,A17,0,D17)*-1</f>
        <v>1810833.3333333335</v>
      </c>
      <c r="G17" s="119">
        <f t="shared" si="1"/>
        <v>0.8333333333793582</v>
      </c>
      <c r="H17" s="120">
        <f aca="true" t="shared" si="4" ref="H17:H48">PV($F$69,A17,0,D17)*-1</f>
        <v>1810833.3334333454</v>
      </c>
      <c r="I17" s="120">
        <f>PMT($B$14,$B$13,$F$67)*-1</f>
        <v>-0.0002861401563074479</v>
      </c>
    </row>
    <row r="18" spans="1:9" ht="18">
      <c r="A18" s="115">
        <f t="shared" si="2"/>
        <v>2</v>
      </c>
      <c r="B18" s="116">
        <v>2273000</v>
      </c>
      <c r="C18" s="117">
        <v>100000</v>
      </c>
      <c r="D18" s="118">
        <f>B18-C18</f>
        <v>2173000</v>
      </c>
      <c r="E18" s="119">
        <f t="shared" si="0"/>
        <v>0.6944444444444444</v>
      </c>
      <c r="F18" s="120">
        <f t="shared" si="3"/>
        <v>1509027.7777777778</v>
      </c>
      <c r="G18" s="119">
        <f t="shared" si="1"/>
        <v>0.6944444445211526</v>
      </c>
      <c r="H18" s="120">
        <f t="shared" si="4"/>
        <v>1509027.7779444647</v>
      </c>
      <c r="I18" s="120">
        <f aca="true" t="shared" si="5" ref="I18:I23">IF(A18&lt;=$B$13,$I$17,0)</f>
        <v>-0.0002861401563074479</v>
      </c>
    </row>
    <row r="19" spans="1:9" ht="18">
      <c r="A19" s="115">
        <f t="shared" si="2"/>
        <v>3</v>
      </c>
      <c r="B19" s="116">
        <v>2273000</v>
      </c>
      <c r="C19" s="117">
        <v>100000</v>
      </c>
      <c r="D19" s="118">
        <f>B19-C19</f>
        <v>2173000</v>
      </c>
      <c r="E19" s="119">
        <f t="shared" si="0"/>
        <v>0.5787037037037037</v>
      </c>
      <c r="F19" s="120">
        <f t="shared" si="3"/>
        <v>1257523.148148148</v>
      </c>
      <c r="G19" s="119">
        <f t="shared" si="1"/>
        <v>0.578703703799589</v>
      </c>
      <c r="H19" s="120">
        <f t="shared" si="4"/>
        <v>1257523.1483565068</v>
      </c>
      <c r="I19" s="120">
        <f t="shared" si="5"/>
        <v>-0.0002861401563074479</v>
      </c>
    </row>
    <row r="20" spans="1:9" ht="18.75" thickBot="1">
      <c r="A20" s="122">
        <f t="shared" si="2"/>
        <v>4</v>
      </c>
      <c r="B20" s="123">
        <f>D11</f>
        <v>2593743.998464</v>
      </c>
      <c r="C20" s="124">
        <v>100000</v>
      </c>
      <c r="D20" s="125">
        <f>B20-C20</f>
        <v>2493743.998464</v>
      </c>
      <c r="E20" s="126">
        <f t="shared" si="0"/>
        <v>0.4822530864197531</v>
      </c>
      <c r="F20" s="127">
        <f t="shared" si="3"/>
        <v>1202615.74</v>
      </c>
      <c r="G20" s="126">
        <f t="shared" si="1"/>
        <v>0.4822530865262923</v>
      </c>
      <c r="H20" s="127">
        <f t="shared" si="4"/>
        <v>1202615.7402656814</v>
      </c>
      <c r="I20" s="127">
        <f t="shared" si="5"/>
        <v>-0.0002861401563074479</v>
      </c>
    </row>
    <row r="21" spans="1:9" ht="18" hidden="1">
      <c r="A21" s="115">
        <f t="shared" si="2"/>
        <v>5</v>
      </c>
      <c r="B21" s="116">
        <v>0</v>
      </c>
      <c r="C21" s="117">
        <v>0</v>
      </c>
      <c r="D21" s="118">
        <f>(B21-C21)</f>
        <v>0</v>
      </c>
      <c r="E21" s="119" t="str">
        <f t="shared" si="0"/>
        <v>-</v>
      </c>
      <c r="F21" s="120">
        <f t="shared" si="3"/>
        <v>0</v>
      </c>
      <c r="G21" s="119" t="str">
        <f t="shared" si="1"/>
        <v>-</v>
      </c>
      <c r="H21" s="120">
        <f t="shared" si="4"/>
        <v>0</v>
      </c>
      <c r="I21" s="120">
        <f t="shared" si="5"/>
        <v>0</v>
      </c>
    </row>
    <row r="22" spans="1:9" ht="18" hidden="1">
      <c r="A22" s="115">
        <f t="shared" si="2"/>
        <v>6</v>
      </c>
      <c r="B22" s="116">
        <v>0</v>
      </c>
      <c r="C22" s="117">
        <v>0</v>
      </c>
      <c r="D22" s="118">
        <f aca="true" t="shared" si="6" ref="D22:D66">B22-C22</f>
        <v>0</v>
      </c>
      <c r="E22" s="119" t="str">
        <f t="shared" si="0"/>
        <v>-</v>
      </c>
      <c r="F22" s="120">
        <f t="shared" si="3"/>
        <v>0</v>
      </c>
      <c r="G22" s="119" t="str">
        <f t="shared" si="1"/>
        <v>-</v>
      </c>
      <c r="H22" s="120">
        <f t="shared" si="4"/>
        <v>0</v>
      </c>
      <c r="I22" s="120">
        <f t="shared" si="5"/>
        <v>0</v>
      </c>
    </row>
    <row r="23" spans="1:9" ht="18" hidden="1">
      <c r="A23" s="115">
        <f t="shared" si="2"/>
        <v>7</v>
      </c>
      <c r="B23" s="116">
        <v>0</v>
      </c>
      <c r="C23" s="117">
        <v>0</v>
      </c>
      <c r="D23" s="118">
        <f t="shared" si="6"/>
        <v>0</v>
      </c>
      <c r="E23" s="119" t="str">
        <f t="shared" si="0"/>
        <v>-</v>
      </c>
      <c r="F23" s="120">
        <f t="shared" si="3"/>
        <v>0</v>
      </c>
      <c r="G23" s="119" t="str">
        <f t="shared" si="1"/>
        <v>-</v>
      </c>
      <c r="H23" s="120">
        <f t="shared" si="4"/>
        <v>0</v>
      </c>
      <c r="I23" s="120">
        <f t="shared" si="5"/>
        <v>0</v>
      </c>
    </row>
    <row r="24" spans="1:11" ht="18" hidden="1">
      <c r="A24" s="115">
        <f t="shared" si="2"/>
        <v>8</v>
      </c>
      <c r="B24" s="116">
        <v>0</v>
      </c>
      <c r="C24" s="117">
        <v>0</v>
      </c>
      <c r="D24" s="118">
        <f t="shared" si="6"/>
        <v>0</v>
      </c>
      <c r="E24" s="119" t="str">
        <f t="shared" si="0"/>
        <v>-</v>
      </c>
      <c r="F24" s="120">
        <f t="shared" si="3"/>
        <v>0</v>
      </c>
      <c r="G24" s="119" t="str">
        <f t="shared" si="1"/>
        <v>-</v>
      </c>
      <c r="H24" s="120">
        <f t="shared" si="4"/>
        <v>0</v>
      </c>
      <c r="I24" s="120">
        <f aca="true" t="shared" si="7" ref="I24:I66">IF(A23&lt;=$B$13,$I$17,0)</f>
        <v>0</v>
      </c>
      <c r="K24" s="121"/>
    </row>
    <row r="25" spans="1:9" ht="18" hidden="1">
      <c r="A25" s="115">
        <f t="shared" si="2"/>
        <v>9</v>
      </c>
      <c r="B25" s="116">
        <v>0</v>
      </c>
      <c r="C25" s="117">
        <v>0</v>
      </c>
      <c r="D25" s="118">
        <f t="shared" si="6"/>
        <v>0</v>
      </c>
      <c r="E25" s="119" t="str">
        <f t="shared" si="0"/>
        <v>-</v>
      </c>
      <c r="F25" s="120">
        <f t="shared" si="3"/>
        <v>0</v>
      </c>
      <c r="G25" s="119" t="str">
        <f t="shared" si="1"/>
        <v>-</v>
      </c>
      <c r="H25" s="120">
        <f t="shared" si="4"/>
        <v>0</v>
      </c>
      <c r="I25" s="120">
        <f t="shared" si="7"/>
        <v>0</v>
      </c>
    </row>
    <row r="26" spans="1:9" ht="18" hidden="1">
      <c r="A26" s="115">
        <f t="shared" si="2"/>
        <v>10</v>
      </c>
      <c r="B26" s="116">
        <v>0</v>
      </c>
      <c r="C26" s="117">
        <v>0</v>
      </c>
      <c r="D26" s="118">
        <f t="shared" si="6"/>
        <v>0</v>
      </c>
      <c r="E26" s="119" t="str">
        <f t="shared" si="0"/>
        <v>-</v>
      </c>
      <c r="F26" s="120">
        <f t="shared" si="3"/>
        <v>0</v>
      </c>
      <c r="G26" s="119" t="str">
        <f t="shared" si="1"/>
        <v>-</v>
      </c>
      <c r="H26" s="120">
        <f t="shared" si="4"/>
        <v>0</v>
      </c>
      <c r="I26" s="120">
        <f t="shared" si="7"/>
        <v>0</v>
      </c>
    </row>
    <row r="27" spans="1:9" ht="18" hidden="1">
      <c r="A27" s="115">
        <f t="shared" si="2"/>
        <v>11</v>
      </c>
      <c r="B27" s="116">
        <v>0</v>
      </c>
      <c r="C27" s="117">
        <v>0</v>
      </c>
      <c r="D27" s="118">
        <f t="shared" si="6"/>
        <v>0</v>
      </c>
      <c r="E27" s="119" t="str">
        <f t="shared" si="0"/>
        <v>-</v>
      </c>
      <c r="F27" s="120">
        <f t="shared" si="3"/>
        <v>0</v>
      </c>
      <c r="G27" s="119" t="str">
        <f t="shared" si="1"/>
        <v>-</v>
      </c>
      <c r="H27" s="120">
        <f t="shared" si="4"/>
        <v>0</v>
      </c>
      <c r="I27" s="120">
        <f t="shared" si="7"/>
        <v>0</v>
      </c>
    </row>
    <row r="28" spans="1:9" ht="18" hidden="1">
      <c r="A28" s="115">
        <f t="shared" si="2"/>
        <v>12</v>
      </c>
      <c r="B28" s="116">
        <v>0</v>
      </c>
      <c r="C28" s="117">
        <v>0</v>
      </c>
      <c r="D28" s="118">
        <f t="shared" si="6"/>
        <v>0</v>
      </c>
      <c r="E28" s="119" t="str">
        <f t="shared" si="0"/>
        <v>-</v>
      </c>
      <c r="F28" s="120">
        <f t="shared" si="3"/>
        <v>0</v>
      </c>
      <c r="G28" s="119" t="str">
        <f t="shared" si="1"/>
        <v>-</v>
      </c>
      <c r="H28" s="120">
        <f t="shared" si="4"/>
        <v>0</v>
      </c>
      <c r="I28" s="120">
        <f t="shared" si="7"/>
        <v>0</v>
      </c>
    </row>
    <row r="29" spans="1:11" ht="18" hidden="1">
      <c r="A29" s="115">
        <f t="shared" si="2"/>
        <v>13</v>
      </c>
      <c r="B29" s="116">
        <v>0</v>
      </c>
      <c r="C29" s="117">
        <v>0</v>
      </c>
      <c r="D29" s="118">
        <f t="shared" si="6"/>
        <v>0</v>
      </c>
      <c r="E29" s="119" t="str">
        <f t="shared" si="0"/>
        <v>-</v>
      </c>
      <c r="F29" s="120">
        <f t="shared" si="3"/>
        <v>0</v>
      </c>
      <c r="G29" s="119" t="str">
        <f t="shared" si="1"/>
        <v>-</v>
      </c>
      <c r="H29" s="120">
        <f t="shared" si="4"/>
        <v>0</v>
      </c>
      <c r="I29" s="120">
        <f t="shared" si="7"/>
        <v>0</v>
      </c>
      <c r="K29" s="121"/>
    </row>
    <row r="30" spans="1:9" ht="18" hidden="1">
      <c r="A30" s="115">
        <f t="shared" si="2"/>
        <v>14</v>
      </c>
      <c r="B30" s="116">
        <v>0</v>
      </c>
      <c r="C30" s="117">
        <v>0</v>
      </c>
      <c r="D30" s="118">
        <f t="shared" si="6"/>
        <v>0</v>
      </c>
      <c r="E30" s="119" t="str">
        <f t="shared" si="0"/>
        <v>-</v>
      </c>
      <c r="F30" s="120">
        <f t="shared" si="3"/>
        <v>0</v>
      </c>
      <c r="G30" s="119" t="str">
        <f t="shared" si="1"/>
        <v>-</v>
      </c>
      <c r="H30" s="120">
        <f t="shared" si="4"/>
        <v>0</v>
      </c>
      <c r="I30" s="120">
        <f t="shared" si="7"/>
        <v>0</v>
      </c>
    </row>
    <row r="31" spans="1:9" ht="18.75" hidden="1" thickBot="1">
      <c r="A31" s="122">
        <f t="shared" si="2"/>
        <v>15</v>
      </c>
      <c r="B31" s="123">
        <v>0</v>
      </c>
      <c r="C31" s="124">
        <v>0</v>
      </c>
      <c r="D31" s="125">
        <f t="shared" si="6"/>
        <v>0</v>
      </c>
      <c r="E31" s="126" t="str">
        <f t="shared" si="0"/>
        <v>-</v>
      </c>
      <c r="F31" s="127">
        <f t="shared" si="3"/>
        <v>0</v>
      </c>
      <c r="G31" s="126" t="str">
        <f t="shared" si="1"/>
        <v>-</v>
      </c>
      <c r="H31" s="127">
        <f t="shared" si="4"/>
        <v>0</v>
      </c>
      <c r="I31" s="127">
        <f t="shared" si="7"/>
        <v>0</v>
      </c>
    </row>
    <row r="32" spans="1:9" ht="18" hidden="1">
      <c r="A32" s="115">
        <f t="shared" si="2"/>
        <v>16</v>
      </c>
      <c r="B32" s="116">
        <v>0</v>
      </c>
      <c r="C32" s="117">
        <v>0</v>
      </c>
      <c r="D32" s="118">
        <f t="shared" si="6"/>
        <v>0</v>
      </c>
      <c r="E32" s="119" t="str">
        <f t="shared" si="0"/>
        <v>-</v>
      </c>
      <c r="F32" s="120">
        <f t="shared" si="3"/>
        <v>0</v>
      </c>
      <c r="G32" s="119" t="str">
        <f t="shared" si="1"/>
        <v>-</v>
      </c>
      <c r="H32" s="120">
        <f t="shared" si="4"/>
        <v>0</v>
      </c>
      <c r="I32" s="120">
        <f t="shared" si="7"/>
        <v>0</v>
      </c>
    </row>
    <row r="33" spans="1:9" ht="18" hidden="1">
      <c r="A33" s="115">
        <f t="shared" si="2"/>
        <v>17</v>
      </c>
      <c r="B33" s="116">
        <v>0</v>
      </c>
      <c r="C33" s="117">
        <v>0</v>
      </c>
      <c r="D33" s="118">
        <f t="shared" si="6"/>
        <v>0</v>
      </c>
      <c r="E33" s="119" t="str">
        <f t="shared" si="0"/>
        <v>-</v>
      </c>
      <c r="F33" s="120">
        <f t="shared" si="3"/>
        <v>0</v>
      </c>
      <c r="G33" s="119" t="str">
        <f t="shared" si="1"/>
        <v>-</v>
      </c>
      <c r="H33" s="120">
        <f t="shared" si="4"/>
        <v>0</v>
      </c>
      <c r="I33" s="120">
        <f t="shared" si="7"/>
        <v>0</v>
      </c>
    </row>
    <row r="34" spans="1:9" ht="18" hidden="1">
      <c r="A34" s="115">
        <f t="shared" si="2"/>
        <v>18</v>
      </c>
      <c r="B34" s="116">
        <v>0</v>
      </c>
      <c r="C34" s="117">
        <v>0</v>
      </c>
      <c r="D34" s="118">
        <f t="shared" si="6"/>
        <v>0</v>
      </c>
      <c r="E34" s="119" t="str">
        <f t="shared" si="0"/>
        <v>-</v>
      </c>
      <c r="F34" s="120">
        <f t="shared" si="3"/>
        <v>0</v>
      </c>
      <c r="G34" s="119" t="str">
        <f t="shared" si="1"/>
        <v>-</v>
      </c>
      <c r="H34" s="120">
        <f t="shared" si="4"/>
        <v>0</v>
      </c>
      <c r="I34" s="120">
        <f t="shared" si="7"/>
        <v>0</v>
      </c>
    </row>
    <row r="35" spans="1:9" ht="18" hidden="1">
      <c r="A35" s="115">
        <f t="shared" si="2"/>
        <v>19</v>
      </c>
      <c r="B35" s="116">
        <v>0</v>
      </c>
      <c r="C35" s="117">
        <v>0</v>
      </c>
      <c r="D35" s="118">
        <f t="shared" si="6"/>
        <v>0</v>
      </c>
      <c r="E35" s="119" t="str">
        <f t="shared" si="0"/>
        <v>-</v>
      </c>
      <c r="F35" s="120">
        <f t="shared" si="3"/>
        <v>0</v>
      </c>
      <c r="G35" s="119" t="str">
        <f t="shared" si="1"/>
        <v>-</v>
      </c>
      <c r="H35" s="120">
        <f t="shared" si="4"/>
        <v>0</v>
      </c>
      <c r="I35" s="120">
        <f t="shared" si="7"/>
        <v>0</v>
      </c>
    </row>
    <row r="36" spans="1:9" ht="18" hidden="1">
      <c r="A36" s="115">
        <f t="shared" si="2"/>
        <v>20</v>
      </c>
      <c r="B36" s="116">
        <v>0</v>
      </c>
      <c r="C36" s="117">
        <v>0</v>
      </c>
      <c r="D36" s="118">
        <f t="shared" si="6"/>
        <v>0</v>
      </c>
      <c r="E36" s="119" t="str">
        <f t="shared" si="0"/>
        <v>-</v>
      </c>
      <c r="F36" s="120">
        <f t="shared" si="3"/>
        <v>0</v>
      </c>
      <c r="G36" s="119" t="str">
        <f t="shared" si="1"/>
        <v>-</v>
      </c>
      <c r="H36" s="120">
        <f t="shared" si="4"/>
        <v>0</v>
      </c>
      <c r="I36" s="120">
        <f t="shared" si="7"/>
        <v>0</v>
      </c>
    </row>
    <row r="37" spans="1:9" ht="18" hidden="1">
      <c r="A37" s="115">
        <f t="shared" si="2"/>
        <v>21</v>
      </c>
      <c r="B37" s="116">
        <v>0</v>
      </c>
      <c r="C37" s="117">
        <v>0</v>
      </c>
      <c r="D37" s="118">
        <f t="shared" si="6"/>
        <v>0</v>
      </c>
      <c r="E37" s="119" t="str">
        <f t="shared" si="0"/>
        <v>-</v>
      </c>
      <c r="F37" s="120">
        <f t="shared" si="3"/>
        <v>0</v>
      </c>
      <c r="G37" s="119" t="str">
        <f t="shared" si="1"/>
        <v>-</v>
      </c>
      <c r="H37" s="120">
        <f t="shared" si="4"/>
        <v>0</v>
      </c>
      <c r="I37" s="120">
        <f t="shared" si="7"/>
        <v>0</v>
      </c>
    </row>
    <row r="38" spans="1:9" ht="18" hidden="1">
      <c r="A38" s="115">
        <f t="shared" si="2"/>
        <v>22</v>
      </c>
      <c r="B38" s="116">
        <v>0</v>
      </c>
      <c r="C38" s="117">
        <v>0</v>
      </c>
      <c r="D38" s="118">
        <f t="shared" si="6"/>
        <v>0</v>
      </c>
      <c r="E38" s="119" t="str">
        <f t="shared" si="0"/>
        <v>-</v>
      </c>
      <c r="F38" s="120">
        <f t="shared" si="3"/>
        <v>0</v>
      </c>
      <c r="G38" s="119" t="str">
        <f t="shared" si="1"/>
        <v>-</v>
      </c>
      <c r="H38" s="120">
        <f t="shared" si="4"/>
        <v>0</v>
      </c>
      <c r="I38" s="120">
        <f t="shared" si="7"/>
        <v>0</v>
      </c>
    </row>
    <row r="39" spans="1:9" ht="18" hidden="1">
      <c r="A39" s="115">
        <f t="shared" si="2"/>
        <v>23</v>
      </c>
      <c r="B39" s="116">
        <v>0</v>
      </c>
      <c r="C39" s="117">
        <v>0</v>
      </c>
      <c r="D39" s="118">
        <f t="shared" si="6"/>
        <v>0</v>
      </c>
      <c r="E39" s="119" t="str">
        <f t="shared" si="0"/>
        <v>-</v>
      </c>
      <c r="F39" s="120">
        <f t="shared" si="3"/>
        <v>0</v>
      </c>
      <c r="G39" s="119" t="str">
        <f t="shared" si="1"/>
        <v>-</v>
      </c>
      <c r="H39" s="120">
        <f t="shared" si="4"/>
        <v>0</v>
      </c>
      <c r="I39" s="120">
        <f t="shared" si="7"/>
        <v>0</v>
      </c>
    </row>
    <row r="40" spans="1:9" ht="18" hidden="1">
      <c r="A40" s="115">
        <f t="shared" si="2"/>
        <v>24</v>
      </c>
      <c r="B40" s="116">
        <v>0</v>
      </c>
      <c r="C40" s="117">
        <v>0</v>
      </c>
      <c r="D40" s="118">
        <f t="shared" si="6"/>
        <v>0</v>
      </c>
      <c r="E40" s="119" t="str">
        <f t="shared" si="0"/>
        <v>-</v>
      </c>
      <c r="F40" s="120">
        <f t="shared" si="3"/>
        <v>0</v>
      </c>
      <c r="G40" s="119" t="str">
        <f t="shared" si="1"/>
        <v>-</v>
      </c>
      <c r="H40" s="120">
        <f t="shared" si="4"/>
        <v>0</v>
      </c>
      <c r="I40" s="120">
        <f t="shared" si="7"/>
        <v>0</v>
      </c>
    </row>
    <row r="41" spans="1:9" ht="18" hidden="1">
      <c r="A41" s="115">
        <f t="shared" si="2"/>
        <v>25</v>
      </c>
      <c r="B41" s="116">
        <v>0</v>
      </c>
      <c r="C41" s="117">
        <v>0</v>
      </c>
      <c r="D41" s="118">
        <f t="shared" si="6"/>
        <v>0</v>
      </c>
      <c r="E41" s="119" t="str">
        <f t="shared" si="0"/>
        <v>-</v>
      </c>
      <c r="F41" s="120">
        <f t="shared" si="3"/>
        <v>0</v>
      </c>
      <c r="G41" s="119" t="str">
        <f t="shared" si="1"/>
        <v>-</v>
      </c>
      <c r="H41" s="120">
        <f t="shared" si="4"/>
        <v>0</v>
      </c>
      <c r="I41" s="120">
        <f t="shared" si="7"/>
        <v>0</v>
      </c>
    </row>
    <row r="42" spans="1:9" ht="18" hidden="1">
      <c r="A42" s="115">
        <f t="shared" si="2"/>
        <v>26</v>
      </c>
      <c r="B42" s="116">
        <v>0</v>
      </c>
      <c r="C42" s="117">
        <v>0</v>
      </c>
      <c r="D42" s="118">
        <f t="shared" si="6"/>
        <v>0</v>
      </c>
      <c r="E42" s="119" t="str">
        <f t="shared" si="0"/>
        <v>-</v>
      </c>
      <c r="F42" s="120">
        <f t="shared" si="3"/>
        <v>0</v>
      </c>
      <c r="G42" s="119" t="str">
        <f t="shared" si="1"/>
        <v>-</v>
      </c>
      <c r="H42" s="120">
        <f t="shared" si="4"/>
        <v>0</v>
      </c>
      <c r="I42" s="120">
        <f t="shared" si="7"/>
        <v>0</v>
      </c>
    </row>
    <row r="43" spans="1:9" ht="18" hidden="1">
      <c r="A43" s="115">
        <f t="shared" si="2"/>
        <v>27</v>
      </c>
      <c r="B43" s="116">
        <v>0</v>
      </c>
      <c r="C43" s="117">
        <v>0</v>
      </c>
      <c r="D43" s="118">
        <f t="shared" si="6"/>
        <v>0</v>
      </c>
      <c r="E43" s="119" t="str">
        <f t="shared" si="0"/>
        <v>-</v>
      </c>
      <c r="F43" s="120">
        <f t="shared" si="3"/>
        <v>0</v>
      </c>
      <c r="G43" s="119" t="str">
        <f t="shared" si="1"/>
        <v>-</v>
      </c>
      <c r="H43" s="120">
        <f t="shared" si="4"/>
        <v>0</v>
      </c>
      <c r="I43" s="120">
        <f t="shared" si="7"/>
        <v>0</v>
      </c>
    </row>
    <row r="44" spans="1:9" ht="18" hidden="1">
      <c r="A44" s="115">
        <f t="shared" si="2"/>
        <v>28</v>
      </c>
      <c r="B44" s="116">
        <v>0</v>
      </c>
      <c r="C44" s="117">
        <v>0</v>
      </c>
      <c r="D44" s="118">
        <f t="shared" si="6"/>
        <v>0</v>
      </c>
      <c r="E44" s="119" t="str">
        <f t="shared" si="0"/>
        <v>-</v>
      </c>
      <c r="F44" s="120">
        <f t="shared" si="3"/>
        <v>0</v>
      </c>
      <c r="G44" s="119" t="str">
        <f t="shared" si="1"/>
        <v>-</v>
      </c>
      <c r="H44" s="120">
        <f t="shared" si="4"/>
        <v>0</v>
      </c>
      <c r="I44" s="120">
        <f t="shared" si="7"/>
        <v>0</v>
      </c>
    </row>
    <row r="45" spans="1:9" ht="18" hidden="1">
      <c r="A45" s="115">
        <f t="shared" si="2"/>
        <v>29</v>
      </c>
      <c r="B45" s="116">
        <v>0</v>
      </c>
      <c r="C45" s="117">
        <v>0</v>
      </c>
      <c r="D45" s="118">
        <f t="shared" si="6"/>
        <v>0</v>
      </c>
      <c r="E45" s="119" t="str">
        <f t="shared" si="0"/>
        <v>-</v>
      </c>
      <c r="F45" s="120">
        <f t="shared" si="3"/>
        <v>0</v>
      </c>
      <c r="G45" s="119" t="str">
        <f t="shared" si="1"/>
        <v>-</v>
      </c>
      <c r="H45" s="120">
        <f t="shared" si="4"/>
        <v>0</v>
      </c>
      <c r="I45" s="120">
        <f t="shared" si="7"/>
        <v>0</v>
      </c>
    </row>
    <row r="46" spans="1:9" ht="18" hidden="1">
      <c r="A46" s="115">
        <f t="shared" si="2"/>
        <v>30</v>
      </c>
      <c r="B46" s="116">
        <v>0</v>
      </c>
      <c r="C46" s="117">
        <v>0</v>
      </c>
      <c r="D46" s="118">
        <f t="shared" si="6"/>
        <v>0</v>
      </c>
      <c r="E46" s="119" t="str">
        <f t="shared" si="0"/>
        <v>-</v>
      </c>
      <c r="F46" s="120">
        <f t="shared" si="3"/>
        <v>0</v>
      </c>
      <c r="G46" s="119" t="str">
        <f t="shared" si="1"/>
        <v>-</v>
      </c>
      <c r="H46" s="120">
        <f t="shared" si="4"/>
        <v>0</v>
      </c>
      <c r="I46" s="120">
        <f t="shared" si="7"/>
        <v>0</v>
      </c>
    </row>
    <row r="47" spans="1:9" ht="18" hidden="1">
      <c r="A47" s="115">
        <f t="shared" si="2"/>
        <v>31</v>
      </c>
      <c r="B47" s="116">
        <v>0</v>
      </c>
      <c r="C47" s="117">
        <v>0</v>
      </c>
      <c r="D47" s="118">
        <f t="shared" si="6"/>
        <v>0</v>
      </c>
      <c r="E47" s="119" t="str">
        <f t="shared" si="0"/>
        <v>-</v>
      </c>
      <c r="F47" s="120">
        <f t="shared" si="3"/>
        <v>0</v>
      </c>
      <c r="G47" s="119" t="str">
        <f t="shared" si="1"/>
        <v>-</v>
      </c>
      <c r="H47" s="120">
        <f t="shared" si="4"/>
        <v>0</v>
      </c>
      <c r="I47" s="120">
        <f t="shared" si="7"/>
        <v>0</v>
      </c>
    </row>
    <row r="48" spans="1:9" ht="18" hidden="1">
      <c r="A48" s="115">
        <f t="shared" si="2"/>
        <v>32</v>
      </c>
      <c r="B48" s="116">
        <v>0</v>
      </c>
      <c r="C48" s="117">
        <v>0</v>
      </c>
      <c r="D48" s="118">
        <f t="shared" si="6"/>
        <v>0</v>
      </c>
      <c r="E48" s="119" t="str">
        <f aca="true" t="shared" si="8" ref="E48:E66">IF(A48&lt;=$B$13,POWER((1+$B$14),(A48*-1)),"-")</f>
        <v>-</v>
      </c>
      <c r="F48" s="120">
        <f t="shared" si="3"/>
        <v>0</v>
      </c>
      <c r="G48" s="119" t="str">
        <f aca="true" t="shared" si="9" ref="G48:G66">IF(A48&lt;=$B$13,POWER((1+$F$69),(A48*-1)),"-")</f>
        <v>-</v>
      </c>
      <c r="H48" s="120">
        <f t="shared" si="4"/>
        <v>0</v>
      </c>
      <c r="I48" s="120">
        <f t="shared" si="7"/>
        <v>0</v>
      </c>
    </row>
    <row r="49" spans="1:9" ht="18" hidden="1">
      <c r="A49" s="115">
        <f aca="true" t="shared" si="10" ref="A49:A66">A48+1</f>
        <v>33</v>
      </c>
      <c r="B49" s="116">
        <v>0</v>
      </c>
      <c r="C49" s="117">
        <v>0</v>
      </c>
      <c r="D49" s="118">
        <f t="shared" si="6"/>
        <v>0</v>
      </c>
      <c r="E49" s="119" t="str">
        <f t="shared" si="8"/>
        <v>-</v>
      </c>
      <c r="F49" s="120">
        <f aca="true" t="shared" si="11" ref="F49:F66">PV($B$14,A49,0,D49)*-1</f>
        <v>0</v>
      </c>
      <c r="G49" s="119" t="str">
        <f t="shared" si="9"/>
        <v>-</v>
      </c>
      <c r="H49" s="120">
        <f aca="true" t="shared" si="12" ref="H49:H66">PV($F$69,A49,0,D49)*-1</f>
        <v>0</v>
      </c>
      <c r="I49" s="120">
        <f t="shared" si="7"/>
        <v>0</v>
      </c>
    </row>
    <row r="50" spans="1:9" ht="18" hidden="1">
      <c r="A50" s="115">
        <f t="shared" si="10"/>
        <v>34</v>
      </c>
      <c r="B50" s="116">
        <v>0</v>
      </c>
      <c r="C50" s="117">
        <v>0</v>
      </c>
      <c r="D50" s="118">
        <f t="shared" si="6"/>
        <v>0</v>
      </c>
      <c r="E50" s="119" t="str">
        <f t="shared" si="8"/>
        <v>-</v>
      </c>
      <c r="F50" s="120">
        <f t="shared" si="11"/>
        <v>0</v>
      </c>
      <c r="G50" s="119" t="str">
        <f t="shared" si="9"/>
        <v>-</v>
      </c>
      <c r="H50" s="120">
        <f t="shared" si="12"/>
        <v>0</v>
      </c>
      <c r="I50" s="120">
        <f t="shared" si="7"/>
        <v>0</v>
      </c>
    </row>
    <row r="51" spans="1:9" ht="18" hidden="1">
      <c r="A51" s="115">
        <f t="shared" si="10"/>
        <v>35</v>
      </c>
      <c r="B51" s="116">
        <v>0</v>
      </c>
      <c r="C51" s="117">
        <v>0</v>
      </c>
      <c r="D51" s="118">
        <f t="shared" si="6"/>
        <v>0</v>
      </c>
      <c r="E51" s="119" t="str">
        <f t="shared" si="8"/>
        <v>-</v>
      </c>
      <c r="F51" s="120">
        <f t="shared" si="11"/>
        <v>0</v>
      </c>
      <c r="G51" s="119" t="str">
        <f t="shared" si="9"/>
        <v>-</v>
      </c>
      <c r="H51" s="120">
        <f t="shared" si="12"/>
        <v>0</v>
      </c>
      <c r="I51" s="120">
        <f t="shared" si="7"/>
        <v>0</v>
      </c>
    </row>
    <row r="52" spans="1:9" ht="18" hidden="1">
      <c r="A52" s="115">
        <f t="shared" si="10"/>
        <v>36</v>
      </c>
      <c r="B52" s="116">
        <v>0</v>
      </c>
      <c r="C52" s="117">
        <v>0</v>
      </c>
      <c r="D52" s="118">
        <f t="shared" si="6"/>
        <v>0</v>
      </c>
      <c r="E52" s="119" t="str">
        <f t="shared" si="8"/>
        <v>-</v>
      </c>
      <c r="F52" s="120">
        <f t="shared" si="11"/>
        <v>0</v>
      </c>
      <c r="G52" s="119" t="str">
        <f t="shared" si="9"/>
        <v>-</v>
      </c>
      <c r="H52" s="120">
        <f t="shared" si="12"/>
        <v>0</v>
      </c>
      <c r="I52" s="120">
        <f t="shared" si="7"/>
        <v>0</v>
      </c>
    </row>
    <row r="53" spans="1:9" ht="18" hidden="1">
      <c r="A53" s="115">
        <f t="shared" si="10"/>
        <v>37</v>
      </c>
      <c r="B53" s="116">
        <v>0</v>
      </c>
      <c r="C53" s="117">
        <v>0</v>
      </c>
      <c r="D53" s="118">
        <f t="shared" si="6"/>
        <v>0</v>
      </c>
      <c r="E53" s="119" t="str">
        <f t="shared" si="8"/>
        <v>-</v>
      </c>
      <c r="F53" s="120">
        <f t="shared" si="11"/>
        <v>0</v>
      </c>
      <c r="G53" s="119" t="str">
        <f t="shared" si="9"/>
        <v>-</v>
      </c>
      <c r="H53" s="120">
        <f t="shared" si="12"/>
        <v>0</v>
      </c>
      <c r="I53" s="120">
        <f t="shared" si="7"/>
        <v>0</v>
      </c>
    </row>
    <row r="54" spans="1:9" ht="18" hidden="1">
      <c r="A54" s="115">
        <f t="shared" si="10"/>
        <v>38</v>
      </c>
      <c r="B54" s="116">
        <v>0</v>
      </c>
      <c r="C54" s="117">
        <v>0</v>
      </c>
      <c r="D54" s="118">
        <f t="shared" si="6"/>
        <v>0</v>
      </c>
      <c r="E54" s="119" t="str">
        <f t="shared" si="8"/>
        <v>-</v>
      </c>
      <c r="F54" s="120">
        <f t="shared" si="11"/>
        <v>0</v>
      </c>
      <c r="G54" s="119" t="str">
        <f t="shared" si="9"/>
        <v>-</v>
      </c>
      <c r="H54" s="120">
        <f t="shared" si="12"/>
        <v>0</v>
      </c>
      <c r="I54" s="120">
        <f t="shared" si="7"/>
        <v>0</v>
      </c>
    </row>
    <row r="55" spans="1:9" ht="18" hidden="1">
      <c r="A55" s="115">
        <f t="shared" si="10"/>
        <v>39</v>
      </c>
      <c r="B55" s="116">
        <v>0</v>
      </c>
      <c r="C55" s="117">
        <v>0</v>
      </c>
      <c r="D55" s="118">
        <f t="shared" si="6"/>
        <v>0</v>
      </c>
      <c r="E55" s="119" t="str">
        <f t="shared" si="8"/>
        <v>-</v>
      </c>
      <c r="F55" s="120">
        <f t="shared" si="11"/>
        <v>0</v>
      </c>
      <c r="G55" s="119" t="str">
        <f t="shared" si="9"/>
        <v>-</v>
      </c>
      <c r="H55" s="120">
        <f t="shared" si="12"/>
        <v>0</v>
      </c>
      <c r="I55" s="120">
        <f t="shared" si="7"/>
        <v>0</v>
      </c>
    </row>
    <row r="56" spans="1:9" ht="18" hidden="1">
      <c r="A56" s="115">
        <f t="shared" si="10"/>
        <v>40</v>
      </c>
      <c r="B56" s="116">
        <v>0</v>
      </c>
      <c r="C56" s="117">
        <v>0</v>
      </c>
      <c r="D56" s="118">
        <f t="shared" si="6"/>
        <v>0</v>
      </c>
      <c r="E56" s="119" t="str">
        <f t="shared" si="8"/>
        <v>-</v>
      </c>
      <c r="F56" s="120">
        <f t="shared" si="11"/>
        <v>0</v>
      </c>
      <c r="G56" s="119" t="str">
        <f t="shared" si="9"/>
        <v>-</v>
      </c>
      <c r="H56" s="120">
        <f t="shared" si="12"/>
        <v>0</v>
      </c>
      <c r="I56" s="120">
        <f t="shared" si="7"/>
        <v>0</v>
      </c>
    </row>
    <row r="57" spans="1:9" ht="18" hidden="1">
      <c r="A57" s="115">
        <f t="shared" si="10"/>
        <v>41</v>
      </c>
      <c r="B57" s="116">
        <v>0</v>
      </c>
      <c r="C57" s="117">
        <v>0</v>
      </c>
      <c r="D57" s="118">
        <f t="shared" si="6"/>
        <v>0</v>
      </c>
      <c r="E57" s="119" t="str">
        <f t="shared" si="8"/>
        <v>-</v>
      </c>
      <c r="F57" s="120">
        <f t="shared" si="11"/>
        <v>0</v>
      </c>
      <c r="G57" s="119" t="str">
        <f t="shared" si="9"/>
        <v>-</v>
      </c>
      <c r="H57" s="120">
        <f t="shared" si="12"/>
        <v>0</v>
      </c>
      <c r="I57" s="120">
        <f t="shared" si="7"/>
        <v>0</v>
      </c>
    </row>
    <row r="58" spans="1:9" ht="18" hidden="1">
      <c r="A58" s="115">
        <f t="shared" si="10"/>
        <v>42</v>
      </c>
      <c r="B58" s="116">
        <v>0</v>
      </c>
      <c r="C58" s="117">
        <v>0</v>
      </c>
      <c r="D58" s="118">
        <f t="shared" si="6"/>
        <v>0</v>
      </c>
      <c r="E58" s="119" t="str">
        <f t="shared" si="8"/>
        <v>-</v>
      </c>
      <c r="F58" s="120">
        <f t="shared" si="11"/>
        <v>0</v>
      </c>
      <c r="G58" s="119" t="str">
        <f t="shared" si="9"/>
        <v>-</v>
      </c>
      <c r="H58" s="120">
        <f t="shared" si="12"/>
        <v>0</v>
      </c>
      <c r="I58" s="120">
        <f t="shared" si="7"/>
        <v>0</v>
      </c>
    </row>
    <row r="59" spans="1:9" ht="18" hidden="1">
      <c r="A59" s="115">
        <f t="shared" si="10"/>
        <v>43</v>
      </c>
      <c r="B59" s="116">
        <v>0</v>
      </c>
      <c r="C59" s="117">
        <v>0</v>
      </c>
      <c r="D59" s="118">
        <f t="shared" si="6"/>
        <v>0</v>
      </c>
      <c r="E59" s="119" t="str">
        <f t="shared" si="8"/>
        <v>-</v>
      </c>
      <c r="F59" s="120">
        <f t="shared" si="11"/>
        <v>0</v>
      </c>
      <c r="G59" s="119" t="str">
        <f t="shared" si="9"/>
        <v>-</v>
      </c>
      <c r="H59" s="120">
        <f t="shared" si="12"/>
        <v>0</v>
      </c>
      <c r="I59" s="120">
        <f t="shared" si="7"/>
        <v>0</v>
      </c>
    </row>
    <row r="60" spans="1:9" ht="18" hidden="1">
      <c r="A60" s="115">
        <f t="shared" si="10"/>
        <v>44</v>
      </c>
      <c r="B60" s="116">
        <v>0</v>
      </c>
      <c r="C60" s="117">
        <v>0</v>
      </c>
      <c r="D60" s="118">
        <f t="shared" si="6"/>
        <v>0</v>
      </c>
      <c r="E60" s="119" t="str">
        <f t="shared" si="8"/>
        <v>-</v>
      </c>
      <c r="F60" s="120">
        <f t="shared" si="11"/>
        <v>0</v>
      </c>
      <c r="G60" s="119" t="str">
        <f t="shared" si="9"/>
        <v>-</v>
      </c>
      <c r="H60" s="120">
        <f t="shared" si="12"/>
        <v>0</v>
      </c>
      <c r="I60" s="120">
        <f t="shared" si="7"/>
        <v>0</v>
      </c>
    </row>
    <row r="61" spans="1:9" ht="18" hidden="1">
      <c r="A61" s="115">
        <f t="shared" si="10"/>
        <v>45</v>
      </c>
      <c r="B61" s="116">
        <v>0</v>
      </c>
      <c r="C61" s="117">
        <v>0</v>
      </c>
      <c r="D61" s="118">
        <f t="shared" si="6"/>
        <v>0</v>
      </c>
      <c r="E61" s="119" t="str">
        <f t="shared" si="8"/>
        <v>-</v>
      </c>
      <c r="F61" s="120">
        <f t="shared" si="11"/>
        <v>0</v>
      </c>
      <c r="G61" s="119" t="str">
        <f t="shared" si="9"/>
        <v>-</v>
      </c>
      <c r="H61" s="120">
        <f t="shared" si="12"/>
        <v>0</v>
      </c>
      <c r="I61" s="120">
        <f t="shared" si="7"/>
        <v>0</v>
      </c>
    </row>
    <row r="62" spans="1:9" ht="18" hidden="1">
      <c r="A62" s="115">
        <f t="shared" si="10"/>
        <v>46</v>
      </c>
      <c r="B62" s="116">
        <v>0</v>
      </c>
      <c r="C62" s="117">
        <v>0</v>
      </c>
      <c r="D62" s="118">
        <f t="shared" si="6"/>
        <v>0</v>
      </c>
      <c r="E62" s="119" t="str">
        <f t="shared" si="8"/>
        <v>-</v>
      </c>
      <c r="F62" s="120">
        <f t="shared" si="11"/>
        <v>0</v>
      </c>
      <c r="G62" s="119" t="str">
        <f t="shared" si="9"/>
        <v>-</v>
      </c>
      <c r="H62" s="120">
        <f t="shared" si="12"/>
        <v>0</v>
      </c>
      <c r="I62" s="120">
        <f t="shared" si="7"/>
        <v>0</v>
      </c>
    </row>
    <row r="63" spans="1:9" ht="18" hidden="1">
      <c r="A63" s="115">
        <f t="shared" si="10"/>
        <v>47</v>
      </c>
      <c r="B63" s="116">
        <v>0</v>
      </c>
      <c r="C63" s="117">
        <v>0</v>
      </c>
      <c r="D63" s="118">
        <f t="shared" si="6"/>
        <v>0</v>
      </c>
      <c r="E63" s="119" t="str">
        <f t="shared" si="8"/>
        <v>-</v>
      </c>
      <c r="F63" s="120">
        <f t="shared" si="11"/>
        <v>0</v>
      </c>
      <c r="G63" s="119" t="str">
        <f t="shared" si="9"/>
        <v>-</v>
      </c>
      <c r="H63" s="120">
        <f t="shared" si="12"/>
        <v>0</v>
      </c>
      <c r="I63" s="120">
        <f t="shared" si="7"/>
        <v>0</v>
      </c>
    </row>
    <row r="64" spans="1:9" ht="18" hidden="1">
      <c r="A64" s="115">
        <f t="shared" si="10"/>
        <v>48</v>
      </c>
      <c r="B64" s="116">
        <v>0</v>
      </c>
      <c r="C64" s="117">
        <v>0</v>
      </c>
      <c r="D64" s="118">
        <f t="shared" si="6"/>
        <v>0</v>
      </c>
      <c r="E64" s="119" t="str">
        <f t="shared" si="8"/>
        <v>-</v>
      </c>
      <c r="F64" s="120">
        <f t="shared" si="11"/>
        <v>0</v>
      </c>
      <c r="G64" s="119" t="str">
        <f t="shared" si="9"/>
        <v>-</v>
      </c>
      <c r="H64" s="120">
        <f t="shared" si="12"/>
        <v>0</v>
      </c>
      <c r="I64" s="120">
        <f t="shared" si="7"/>
        <v>0</v>
      </c>
    </row>
    <row r="65" spans="1:9" ht="18" hidden="1">
      <c r="A65" s="115">
        <f t="shared" si="10"/>
        <v>49</v>
      </c>
      <c r="B65" s="116">
        <v>0</v>
      </c>
      <c r="C65" s="117">
        <v>0</v>
      </c>
      <c r="D65" s="118">
        <f t="shared" si="6"/>
        <v>0</v>
      </c>
      <c r="E65" s="119" t="str">
        <f t="shared" si="8"/>
        <v>-</v>
      </c>
      <c r="F65" s="120">
        <f t="shared" si="11"/>
        <v>0</v>
      </c>
      <c r="G65" s="119" t="str">
        <f t="shared" si="9"/>
        <v>-</v>
      </c>
      <c r="H65" s="120">
        <f t="shared" si="12"/>
        <v>0</v>
      </c>
      <c r="I65" s="120">
        <f t="shared" si="7"/>
        <v>0</v>
      </c>
    </row>
    <row r="66" spans="1:9" ht="18.75" hidden="1" thickBot="1">
      <c r="A66" s="122">
        <f t="shared" si="10"/>
        <v>50</v>
      </c>
      <c r="B66" s="123">
        <v>0</v>
      </c>
      <c r="C66" s="124">
        <v>0</v>
      </c>
      <c r="D66" s="125">
        <f t="shared" si="6"/>
        <v>0</v>
      </c>
      <c r="E66" s="126" t="str">
        <f t="shared" si="8"/>
        <v>-</v>
      </c>
      <c r="F66" s="127">
        <f t="shared" si="11"/>
        <v>0</v>
      </c>
      <c r="G66" s="126" t="str">
        <f t="shared" si="9"/>
        <v>-</v>
      </c>
      <c r="H66" s="127">
        <f t="shared" si="12"/>
        <v>0</v>
      </c>
      <c r="I66" s="127">
        <f t="shared" si="7"/>
        <v>0</v>
      </c>
    </row>
    <row r="67" spans="1:9" ht="18.75" thickBot="1">
      <c r="A67" s="128" t="s">
        <v>97</v>
      </c>
      <c r="B67" s="129"/>
      <c r="C67" s="129"/>
      <c r="D67" s="129"/>
      <c r="E67" s="129"/>
      <c r="F67" s="130">
        <f>SUM(F16:F66)</f>
        <v>-0.0007407409138977528</v>
      </c>
      <c r="G67" s="131"/>
      <c r="H67" s="132">
        <f>SUM(H16:H66)</f>
        <v>-1.6298145055770874E-09</v>
      </c>
      <c r="I67" s="133"/>
    </row>
    <row r="68" spans="1:9" ht="18.75" thickBot="1">
      <c r="A68" s="134" t="s">
        <v>98</v>
      </c>
      <c r="B68" s="135"/>
      <c r="C68" s="135"/>
      <c r="D68" s="135"/>
      <c r="E68" s="135"/>
      <c r="F68" s="136">
        <f>I17</f>
        <v>-0.0002861401563074479</v>
      </c>
      <c r="G68" s="137"/>
      <c r="H68" s="137"/>
      <c r="I68" s="133"/>
    </row>
    <row r="69" spans="1:9" ht="18.75" thickBot="1">
      <c r="A69" s="138" t="s">
        <v>99</v>
      </c>
      <c r="B69" s="139"/>
      <c r="C69" s="139"/>
      <c r="D69" s="139"/>
      <c r="E69" s="139"/>
      <c r="F69" s="140">
        <f>IRR(D16:D66)</f>
        <v>0.199999999933724</v>
      </c>
      <c r="G69" s="141"/>
      <c r="H69" s="141"/>
      <c r="I69" s="133"/>
    </row>
    <row r="70" spans="1:9" ht="18.75" thickBot="1">
      <c r="A70" s="128" t="s">
        <v>100</v>
      </c>
      <c r="B70" s="129"/>
      <c r="C70" s="129"/>
      <c r="D70" s="129"/>
      <c r="E70" s="129"/>
      <c r="F70" s="142">
        <f>NPER(B14,F72,F16,0)</f>
        <v>4.000000000754646</v>
      </c>
      <c r="G70" s="143"/>
      <c r="H70" s="143"/>
      <c r="I70" s="133"/>
    </row>
    <row r="71" spans="1:8" ht="12.75" hidden="1">
      <c r="A71" s="144" t="s">
        <v>101</v>
      </c>
      <c r="F71" s="145">
        <f>SUM(F17:F66)</f>
        <v>5779999.99925926</v>
      </c>
      <c r="G71" s="145"/>
      <c r="H71" s="145"/>
    </row>
    <row r="72" spans="1:8" ht="12.75" hidden="1">
      <c r="A72" s="144" t="s">
        <v>102</v>
      </c>
      <c r="F72" s="146">
        <f>PMT(B14,B13,F71,0)*-1</f>
        <v>2232751.117448584</v>
      </c>
      <c r="G72" s="146"/>
      <c r="H72" s="146"/>
    </row>
    <row r="74" ht="18">
      <c r="A74" s="147" t="s">
        <v>103</v>
      </c>
    </row>
    <row r="75" spans="1:6" ht="78" customHeight="1">
      <c r="A75" s="407" t="s">
        <v>114</v>
      </c>
      <c r="B75" s="407"/>
      <c r="C75" s="407"/>
      <c r="D75" s="407"/>
      <c r="E75" s="407"/>
      <c r="F75" s="407"/>
    </row>
    <row r="76" spans="1:2" ht="12.75">
      <c r="A76" s="30" t="s">
        <v>115</v>
      </c>
      <c r="B76" s="30"/>
    </row>
    <row r="77" spans="1:2" ht="12.75">
      <c r="A77" s="99" t="s">
        <v>116</v>
      </c>
      <c r="B77" s="30"/>
    </row>
    <row r="78" ht="12.75">
      <c r="A78" s="99" t="s">
        <v>117</v>
      </c>
    </row>
    <row r="79" ht="12.75">
      <c r="A79" s="99" t="s">
        <v>118</v>
      </c>
    </row>
    <row r="80" ht="12.75">
      <c r="A80" s="99" t="s">
        <v>119</v>
      </c>
    </row>
    <row r="81" ht="12.75">
      <c r="A81" s="99" t="s">
        <v>120</v>
      </c>
    </row>
  </sheetData>
  <mergeCells count="2">
    <mergeCell ref="A1:C1"/>
    <mergeCell ref="A75:F75"/>
  </mergeCells>
  <printOptions/>
  <pageMargins left="0.7874015748031497" right="0.3937007874015748" top="0.984251968503937" bottom="0.984251968503937" header="0" footer="0"/>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K387"/>
  <sheetViews>
    <sheetView zoomScale="140" zoomScaleNormal="140" workbookViewId="0" topLeftCell="A1">
      <selection activeCell="D9" sqref="D9"/>
    </sheetView>
  </sheetViews>
  <sheetFormatPr defaultColWidth="9.140625" defaultRowHeight="12.75"/>
  <cols>
    <col min="1" max="1" width="6.28125" style="0" customWidth="1"/>
    <col min="2" max="2" width="13.8515625" style="0" customWidth="1"/>
    <col min="3" max="3" width="15.7109375" style="0" customWidth="1"/>
    <col min="4" max="4" width="17.421875" style="0" customWidth="1"/>
    <col min="5" max="5" width="13.57421875" style="0" customWidth="1"/>
    <col min="6" max="6" width="14.57421875" style="0" customWidth="1"/>
    <col min="7" max="7" width="14.421875" style="0" customWidth="1"/>
  </cols>
  <sheetData>
    <row r="1" spans="1:7" ht="27" thickBot="1">
      <c r="A1" s="408" t="s">
        <v>121</v>
      </c>
      <c r="B1" s="409"/>
      <c r="C1" s="409"/>
      <c r="D1" s="409"/>
      <c r="E1" s="409"/>
      <c r="F1" s="409"/>
      <c r="G1" s="410"/>
    </row>
    <row r="2" spans="1:7" ht="12.75">
      <c r="A2" s="411" t="s">
        <v>122</v>
      </c>
      <c r="B2" s="412"/>
      <c r="C2" s="412"/>
      <c r="D2" s="148">
        <v>6000000</v>
      </c>
      <c r="E2" s="30"/>
      <c r="F2" s="30"/>
      <c r="G2" s="41"/>
    </row>
    <row r="3" spans="1:7" ht="12.75">
      <c r="A3" s="413" t="s">
        <v>123</v>
      </c>
      <c r="B3" s="414"/>
      <c r="C3" s="414"/>
      <c r="D3" s="151">
        <v>98</v>
      </c>
      <c r="E3" s="30"/>
      <c r="F3" s="30"/>
      <c r="G3" s="41"/>
    </row>
    <row r="4" spans="1:7" ht="12.75">
      <c r="A4" s="413" t="s">
        <v>124</v>
      </c>
      <c r="B4" s="414"/>
      <c r="C4" s="414"/>
      <c r="D4" s="152">
        <f>D2*0.001</f>
        <v>6000</v>
      </c>
      <c r="E4" s="30"/>
      <c r="F4" s="30"/>
      <c r="G4" s="41"/>
    </row>
    <row r="5" spans="1:7" ht="13.5" thickBot="1">
      <c r="A5" s="413" t="s">
        <v>125</v>
      </c>
      <c r="B5" s="414"/>
      <c r="C5" s="414"/>
      <c r="D5" s="153">
        <f>(D2*(D3/100))-D4</f>
        <v>5874000</v>
      </c>
      <c r="E5" s="30"/>
      <c r="F5" s="30"/>
      <c r="G5" s="41"/>
    </row>
    <row r="6" spans="1:7" ht="13.5" thickTop="1">
      <c r="A6" s="413" t="s">
        <v>126</v>
      </c>
      <c r="B6" s="414"/>
      <c r="C6" s="414"/>
      <c r="D6" s="154">
        <v>0.06</v>
      </c>
      <c r="E6" s="30"/>
      <c r="F6" s="30"/>
      <c r="G6" s="41"/>
    </row>
    <row r="7" spans="1:7" ht="12.75">
      <c r="A7" s="413" t="s">
        <v>127</v>
      </c>
      <c r="B7" s="414"/>
      <c r="C7" s="414"/>
      <c r="D7" s="155">
        <v>4</v>
      </c>
      <c r="E7" s="30"/>
      <c r="F7" s="30"/>
      <c r="G7" s="41"/>
    </row>
    <row r="8" spans="1:7" ht="12.75">
      <c r="A8" s="413" t="s">
        <v>128</v>
      </c>
      <c r="B8" s="414"/>
      <c r="C8" s="414"/>
      <c r="D8" s="155">
        <v>4</v>
      </c>
      <c r="E8" s="30"/>
      <c r="F8" s="30"/>
      <c r="G8" s="41"/>
    </row>
    <row r="9" spans="1:7" ht="12.75">
      <c r="A9" s="413" t="s">
        <v>129</v>
      </c>
      <c r="B9" s="414"/>
      <c r="C9" s="414"/>
      <c r="D9" s="156">
        <f>D7*D8</f>
        <v>16</v>
      </c>
      <c r="E9" s="30"/>
      <c r="F9" s="30"/>
      <c r="G9" s="41"/>
    </row>
    <row r="10" spans="1:7" ht="12.75">
      <c r="A10" s="413" t="s">
        <v>130</v>
      </c>
      <c r="B10" s="414"/>
      <c r="C10" s="414"/>
      <c r="D10" s="157">
        <f>D6/D8</f>
        <v>0.015</v>
      </c>
      <c r="E10" s="30"/>
      <c r="F10" s="30"/>
      <c r="G10" s="41"/>
    </row>
    <row r="11" spans="1:7" ht="12.75">
      <c r="A11" s="413" t="s">
        <v>131</v>
      </c>
      <c r="B11" s="414"/>
      <c r="C11" s="414"/>
      <c r="D11" s="158">
        <f>(PMT(D10,D9,D2))</f>
        <v>-424590.46697820106</v>
      </c>
      <c r="E11" s="149" t="s">
        <v>132</v>
      </c>
      <c r="F11" s="150"/>
      <c r="G11" s="159"/>
    </row>
    <row r="12" spans="1:7" ht="12.75" hidden="1">
      <c r="A12" s="413" t="s">
        <v>133</v>
      </c>
      <c r="B12" s="414"/>
      <c r="C12" s="414"/>
      <c r="D12" s="151">
        <v>0</v>
      </c>
      <c r="E12" s="30"/>
      <c r="F12" s="30"/>
      <c r="G12" s="41"/>
    </row>
    <row r="13" spans="1:7" ht="12.75">
      <c r="A13" s="418"/>
      <c r="B13" s="419"/>
      <c r="C13" s="419"/>
      <c r="D13" s="420"/>
      <c r="E13" s="30"/>
      <c r="F13" s="30"/>
      <c r="G13" s="41"/>
    </row>
    <row r="14" spans="1:7" ht="12.75" hidden="1">
      <c r="A14" s="29"/>
      <c r="B14" s="30"/>
      <c r="C14" s="30"/>
      <c r="D14" s="158">
        <f>D11-D12</f>
        <v>-424590.46697820106</v>
      </c>
      <c r="E14" s="30"/>
      <c r="F14" s="30"/>
      <c r="G14" s="41"/>
    </row>
    <row r="15" spans="1:7" ht="12.75" hidden="1">
      <c r="A15" s="29"/>
      <c r="B15" s="30"/>
      <c r="C15" s="30"/>
      <c r="D15" s="41"/>
      <c r="E15" s="30"/>
      <c r="F15" s="30"/>
      <c r="G15" s="41"/>
    </row>
    <row r="16" spans="1:11" ht="18">
      <c r="A16" s="415" t="s">
        <v>134</v>
      </c>
      <c r="B16" s="416"/>
      <c r="C16" s="416"/>
      <c r="D16" s="160">
        <f>(POWER((RATE(D9,D14,D5)+1),D8))-1</f>
        <v>0.07246832661864122</v>
      </c>
      <c r="E16" s="415" t="str">
        <f>E11</f>
        <v>(Beregning: se note til annuitetslån)</v>
      </c>
      <c r="F16" s="416"/>
      <c r="G16" s="417"/>
      <c r="H16" s="161"/>
      <c r="I16" s="161"/>
      <c r="J16" s="161"/>
      <c r="K16" s="161"/>
    </row>
    <row r="17" spans="1:11" ht="13.5" thickBot="1">
      <c r="A17" s="421"/>
      <c r="B17" s="422"/>
      <c r="C17" s="422"/>
      <c r="D17" s="423"/>
      <c r="E17" s="99"/>
      <c r="F17" s="99"/>
      <c r="G17" s="162"/>
      <c r="H17" s="161"/>
      <c r="I17" s="161"/>
      <c r="J17" s="161"/>
      <c r="K17" s="161"/>
    </row>
    <row r="18" spans="1:11" ht="13.5" thickBot="1">
      <c r="A18" s="163"/>
      <c r="B18" s="164"/>
      <c r="C18" s="164"/>
      <c r="D18" s="165"/>
      <c r="E18" s="165"/>
      <c r="F18" s="165"/>
      <c r="G18" s="166"/>
      <c r="H18" s="161"/>
      <c r="I18" s="161"/>
      <c r="J18" s="161"/>
      <c r="K18" s="161"/>
    </row>
    <row r="19" spans="1:11" ht="12.75">
      <c r="A19" s="167" t="str">
        <f>CONCATENATE("Amortisationstabel annuitetslån: (",D9," terminer)")</f>
        <v>Amortisationstabel annuitetslån: (16 terminer)</v>
      </c>
      <c r="B19" s="168"/>
      <c r="C19" s="168"/>
      <c r="D19" s="99"/>
      <c r="E19" s="99"/>
      <c r="F19" s="99"/>
      <c r="G19" s="162"/>
      <c r="H19" s="161"/>
      <c r="I19" s="161"/>
      <c r="J19" s="161"/>
      <c r="K19" s="161"/>
    </row>
    <row r="20" spans="1:8" ht="25.5">
      <c r="A20" s="29" t="s">
        <v>135</v>
      </c>
      <c r="B20" s="169" t="s">
        <v>136</v>
      </c>
      <c r="C20" s="169" t="s">
        <v>137</v>
      </c>
      <c r="D20" s="170" t="s">
        <v>138</v>
      </c>
      <c r="E20" s="169" t="s">
        <v>139</v>
      </c>
      <c r="F20" s="169" t="s">
        <v>140</v>
      </c>
      <c r="G20" s="171" t="s">
        <v>141</v>
      </c>
      <c r="H20" s="172"/>
    </row>
    <row r="21" spans="1:7" ht="12.75">
      <c r="A21" s="29">
        <v>1</v>
      </c>
      <c r="B21" s="173">
        <f>D2</f>
        <v>6000000</v>
      </c>
      <c r="C21" s="173">
        <f aca="true" t="shared" si="0" ref="C21:C84">IF(A21&lt;=$D$9,$D$14*-1,0)</f>
        <v>424590.46697820106</v>
      </c>
      <c r="D21" s="173">
        <f aca="true" t="shared" si="1" ref="D21:D84">IF(A21&gt;$D$9,0,$D$11*-1)</f>
        <v>424590.46697820106</v>
      </c>
      <c r="E21" s="174">
        <f aca="true" t="shared" si="2" ref="E21:E84">B21*$D$10</f>
        <v>90000</v>
      </c>
      <c r="F21" s="173">
        <f aca="true" t="shared" si="3" ref="F21:F84">D21-E21</f>
        <v>334590.46697820106</v>
      </c>
      <c r="G21" s="158">
        <f aca="true" t="shared" si="4" ref="G21:G84">B21-F21</f>
        <v>5665409.533021799</v>
      </c>
    </row>
    <row r="22" spans="1:7" ht="12.75">
      <c r="A22" s="29">
        <f aca="true" t="shared" si="5" ref="A22:A85">A21+1</f>
        <v>2</v>
      </c>
      <c r="B22" s="173">
        <f aca="true" t="shared" si="6" ref="B22:B85">IF(A22&lt;=$D$9,G21,0)</f>
        <v>5665409.533021799</v>
      </c>
      <c r="C22" s="173">
        <f t="shared" si="0"/>
        <v>424590.46697820106</v>
      </c>
      <c r="D22" s="173">
        <f t="shared" si="1"/>
        <v>424590.46697820106</v>
      </c>
      <c r="E22" s="174">
        <f t="shared" si="2"/>
        <v>84981.14299532698</v>
      </c>
      <c r="F22" s="173">
        <f t="shared" si="3"/>
        <v>339609.32398287405</v>
      </c>
      <c r="G22" s="158">
        <f t="shared" si="4"/>
        <v>5325800.209038925</v>
      </c>
    </row>
    <row r="23" spans="1:7" ht="12.75">
      <c r="A23" s="29">
        <f t="shared" si="5"/>
        <v>3</v>
      </c>
      <c r="B23" s="173">
        <f t="shared" si="6"/>
        <v>5325800.209038925</v>
      </c>
      <c r="C23" s="173">
        <f t="shared" si="0"/>
        <v>424590.46697820106</v>
      </c>
      <c r="D23" s="173">
        <f t="shared" si="1"/>
        <v>424590.46697820106</v>
      </c>
      <c r="E23" s="174">
        <f t="shared" si="2"/>
        <v>79887.00313558387</v>
      </c>
      <c r="F23" s="173">
        <f t="shared" si="3"/>
        <v>344703.4638426172</v>
      </c>
      <c r="G23" s="158">
        <f t="shared" si="4"/>
        <v>4981096.745196308</v>
      </c>
    </row>
    <row r="24" spans="1:7" ht="13.5" thickBot="1">
      <c r="A24" s="29">
        <f t="shared" si="5"/>
        <v>4</v>
      </c>
      <c r="B24" s="173">
        <f t="shared" si="6"/>
        <v>4981096.745196308</v>
      </c>
      <c r="C24" s="173">
        <f t="shared" si="0"/>
        <v>424590.46697820106</v>
      </c>
      <c r="D24" s="173">
        <f t="shared" si="1"/>
        <v>424590.46697820106</v>
      </c>
      <c r="E24" s="174">
        <f t="shared" si="2"/>
        <v>74716.45117794462</v>
      </c>
      <c r="F24" s="173">
        <f t="shared" si="3"/>
        <v>349874.01580025646</v>
      </c>
      <c r="G24" s="158">
        <f t="shared" si="4"/>
        <v>4631222.729396052</v>
      </c>
    </row>
    <row r="25" spans="1:7" ht="12.75" hidden="1">
      <c r="A25" s="29">
        <f t="shared" si="5"/>
        <v>5</v>
      </c>
      <c r="B25" s="173">
        <f t="shared" si="6"/>
        <v>4631222.729396052</v>
      </c>
      <c r="C25" s="173">
        <f t="shared" si="0"/>
        <v>424590.46697820106</v>
      </c>
      <c r="D25" s="173">
        <f t="shared" si="1"/>
        <v>424590.46697820106</v>
      </c>
      <c r="E25" s="174">
        <f t="shared" si="2"/>
        <v>69468.34094094078</v>
      </c>
      <c r="F25" s="173">
        <f t="shared" si="3"/>
        <v>355122.1260372603</v>
      </c>
      <c r="G25" s="158">
        <f t="shared" si="4"/>
        <v>4276100.603358791</v>
      </c>
    </row>
    <row r="26" spans="1:7" ht="12.75" hidden="1">
      <c r="A26" s="29">
        <f t="shared" si="5"/>
        <v>6</v>
      </c>
      <c r="B26" s="173">
        <f t="shared" si="6"/>
        <v>4276100.603358791</v>
      </c>
      <c r="C26" s="173">
        <f t="shared" si="0"/>
        <v>424590.46697820106</v>
      </c>
      <c r="D26" s="173">
        <f t="shared" si="1"/>
        <v>424590.46697820106</v>
      </c>
      <c r="E26" s="174">
        <f t="shared" si="2"/>
        <v>64141.509050381865</v>
      </c>
      <c r="F26" s="173">
        <f t="shared" si="3"/>
        <v>360448.9579278192</v>
      </c>
      <c r="G26" s="158">
        <f t="shared" si="4"/>
        <v>3915651.645430972</v>
      </c>
    </row>
    <row r="27" spans="1:7" ht="12.75" hidden="1">
      <c r="A27" s="29">
        <f t="shared" si="5"/>
        <v>7</v>
      </c>
      <c r="B27" s="173">
        <f t="shared" si="6"/>
        <v>3915651.645430972</v>
      </c>
      <c r="C27" s="173">
        <f t="shared" si="0"/>
        <v>424590.46697820106</v>
      </c>
      <c r="D27" s="173">
        <f t="shared" si="1"/>
        <v>424590.46697820106</v>
      </c>
      <c r="E27" s="174">
        <f t="shared" si="2"/>
        <v>58734.77468146457</v>
      </c>
      <c r="F27" s="173">
        <f t="shared" si="3"/>
        <v>365855.69229673647</v>
      </c>
      <c r="G27" s="158">
        <f t="shared" si="4"/>
        <v>3549795.9531342355</v>
      </c>
    </row>
    <row r="28" spans="1:7" ht="12.75" hidden="1">
      <c r="A28" s="29">
        <f t="shared" si="5"/>
        <v>8</v>
      </c>
      <c r="B28" s="173">
        <f t="shared" si="6"/>
        <v>3549795.9531342355</v>
      </c>
      <c r="C28" s="173">
        <f t="shared" si="0"/>
        <v>424590.46697820106</v>
      </c>
      <c r="D28" s="173">
        <f t="shared" si="1"/>
        <v>424590.46697820106</v>
      </c>
      <c r="E28" s="174">
        <f t="shared" si="2"/>
        <v>53246.93929701353</v>
      </c>
      <c r="F28" s="173">
        <f t="shared" si="3"/>
        <v>371343.52768118755</v>
      </c>
      <c r="G28" s="158">
        <f t="shared" si="4"/>
        <v>3178452.4254530477</v>
      </c>
    </row>
    <row r="29" spans="1:7" ht="12.75" hidden="1">
      <c r="A29" s="29">
        <f t="shared" si="5"/>
        <v>9</v>
      </c>
      <c r="B29" s="173">
        <f t="shared" si="6"/>
        <v>3178452.4254530477</v>
      </c>
      <c r="C29" s="173">
        <f t="shared" si="0"/>
        <v>424590.46697820106</v>
      </c>
      <c r="D29" s="173">
        <f t="shared" si="1"/>
        <v>424590.46697820106</v>
      </c>
      <c r="E29" s="174">
        <f t="shared" si="2"/>
        <v>47676.78638179571</v>
      </c>
      <c r="F29" s="173">
        <f t="shared" si="3"/>
        <v>376913.68059640535</v>
      </c>
      <c r="G29" s="158">
        <f t="shared" si="4"/>
        <v>2801538.7448566426</v>
      </c>
    </row>
    <row r="30" spans="1:7" ht="12.75" hidden="1">
      <c r="A30" s="29">
        <f t="shared" si="5"/>
        <v>10</v>
      </c>
      <c r="B30" s="173">
        <f t="shared" si="6"/>
        <v>2801538.7448566426</v>
      </c>
      <c r="C30" s="173">
        <f t="shared" si="0"/>
        <v>424590.46697820106</v>
      </c>
      <c r="D30" s="173">
        <f t="shared" si="1"/>
        <v>424590.46697820106</v>
      </c>
      <c r="E30" s="174">
        <f t="shared" si="2"/>
        <v>42023.081172849634</v>
      </c>
      <c r="F30" s="173">
        <f t="shared" si="3"/>
        <v>382567.3858053514</v>
      </c>
      <c r="G30" s="158">
        <f t="shared" si="4"/>
        <v>2418971.359051291</v>
      </c>
    </row>
    <row r="31" spans="1:7" ht="12.75" hidden="1">
      <c r="A31" s="29">
        <f t="shared" si="5"/>
        <v>11</v>
      </c>
      <c r="B31" s="173">
        <f t="shared" si="6"/>
        <v>2418971.359051291</v>
      </c>
      <c r="C31" s="173">
        <f t="shared" si="0"/>
        <v>424590.46697820106</v>
      </c>
      <c r="D31" s="173">
        <f t="shared" si="1"/>
        <v>424590.46697820106</v>
      </c>
      <c r="E31" s="174">
        <f t="shared" si="2"/>
        <v>36284.57038576936</v>
      </c>
      <c r="F31" s="173">
        <f t="shared" si="3"/>
        <v>388305.8965924317</v>
      </c>
      <c r="G31" s="158">
        <f t="shared" si="4"/>
        <v>2030665.4624588592</v>
      </c>
    </row>
    <row r="32" spans="1:7" ht="12.75" hidden="1">
      <c r="A32" s="29">
        <f t="shared" si="5"/>
        <v>12</v>
      </c>
      <c r="B32" s="173">
        <f t="shared" si="6"/>
        <v>2030665.4624588592</v>
      </c>
      <c r="C32" s="173">
        <f t="shared" si="0"/>
        <v>424590.46697820106</v>
      </c>
      <c r="D32" s="173">
        <f t="shared" si="1"/>
        <v>424590.46697820106</v>
      </c>
      <c r="E32" s="174">
        <f t="shared" si="2"/>
        <v>30459.981936882887</v>
      </c>
      <c r="F32" s="173">
        <f t="shared" si="3"/>
        <v>394130.48504131817</v>
      </c>
      <c r="G32" s="158">
        <f t="shared" si="4"/>
        <v>1636534.977417541</v>
      </c>
    </row>
    <row r="33" spans="1:7" ht="12.75" hidden="1">
      <c r="A33" s="29">
        <f t="shared" si="5"/>
        <v>13</v>
      </c>
      <c r="B33" s="173">
        <f t="shared" si="6"/>
        <v>1636534.977417541</v>
      </c>
      <c r="C33" s="173">
        <f t="shared" si="0"/>
        <v>424590.46697820106</v>
      </c>
      <c r="D33" s="173">
        <f t="shared" si="1"/>
        <v>424590.46697820106</v>
      </c>
      <c r="E33" s="174">
        <f t="shared" si="2"/>
        <v>24548.024661263113</v>
      </c>
      <c r="F33" s="173">
        <f t="shared" si="3"/>
        <v>400042.44231693796</v>
      </c>
      <c r="G33" s="158">
        <f t="shared" si="4"/>
        <v>1236492.535100603</v>
      </c>
    </row>
    <row r="34" spans="1:7" ht="12.75" hidden="1">
      <c r="A34" s="29">
        <f t="shared" si="5"/>
        <v>14</v>
      </c>
      <c r="B34" s="173">
        <f t="shared" si="6"/>
        <v>1236492.535100603</v>
      </c>
      <c r="C34" s="173">
        <f t="shared" si="0"/>
        <v>424590.46697820106</v>
      </c>
      <c r="D34" s="173">
        <f t="shared" si="1"/>
        <v>424590.46697820106</v>
      </c>
      <c r="E34" s="174">
        <f t="shared" si="2"/>
        <v>18547.388026509045</v>
      </c>
      <c r="F34" s="173">
        <f t="shared" si="3"/>
        <v>406043.07895169203</v>
      </c>
      <c r="G34" s="158">
        <f t="shared" si="4"/>
        <v>830449.456148911</v>
      </c>
    </row>
    <row r="35" spans="1:7" ht="12.75" hidden="1">
      <c r="A35" s="29">
        <f t="shared" si="5"/>
        <v>15</v>
      </c>
      <c r="B35" s="173">
        <f t="shared" si="6"/>
        <v>830449.456148911</v>
      </c>
      <c r="C35" s="173">
        <f t="shared" si="0"/>
        <v>424590.46697820106</v>
      </c>
      <c r="D35" s="173">
        <f t="shared" si="1"/>
        <v>424590.46697820106</v>
      </c>
      <c r="E35" s="174">
        <f t="shared" si="2"/>
        <v>12456.741842233665</v>
      </c>
      <c r="F35" s="173">
        <f t="shared" si="3"/>
        <v>412133.72513596737</v>
      </c>
      <c r="G35" s="158">
        <f t="shared" si="4"/>
        <v>418315.73101294367</v>
      </c>
    </row>
    <row r="36" spans="1:7" ht="12.75" hidden="1">
      <c r="A36" s="29">
        <f t="shared" si="5"/>
        <v>16</v>
      </c>
      <c r="B36" s="173">
        <f t="shared" si="6"/>
        <v>418315.73101294367</v>
      </c>
      <c r="C36" s="173">
        <f t="shared" si="0"/>
        <v>424590.46697820106</v>
      </c>
      <c r="D36" s="173">
        <f t="shared" si="1"/>
        <v>424590.46697820106</v>
      </c>
      <c r="E36" s="174">
        <f t="shared" si="2"/>
        <v>6274.735965194155</v>
      </c>
      <c r="F36" s="173">
        <f t="shared" si="3"/>
        <v>418315.7310130069</v>
      </c>
      <c r="G36" s="158">
        <f t="shared" si="4"/>
        <v>-6.32135197520256E-08</v>
      </c>
    </row>
    <row r="37" spans="1:7" ht="12.75" hidden="1">
      <c r="A37" s="29">
        <f t="shared" si="5"/>
        <v>17</v>
      </c>
      <c r="B37" s="173">
        <f t="shared" si="6"/>
        <v>0</v>
      </c>
      <c r="C37" s="173">
        <f t="shared" si="0"/>
        <v>0</v>
      </c>
      <c r="D37" s="173">
        <f t="shared" si="1"/>
        <v>0</v>
      </c>
      <c r="E37" s="174">
        <f t="shared" si="2"/>
        <v>0</v>
      </c>
      <c r="F37" s="173">
        <f t="shared" si="3"/>
        <v>0</v>
      </c>
      <c r="G37" s="158">
        <f t="shared" si="4"/>
        <v>0</v>
      </c>
    </row>
    <row r="38" spans="1:7" ht="12.75" hidden="1">
      <c r="A38" s="29">
        <f t="shared" si="5"/>
        <v>18</v>
      </c>
      <c r="B38" s="173">
        <f t="shared" si="6"/>
        <v>0</v>
      </c>
      <c r="C38" s="173">
        <f t="shared" si="0"/>
        <v>0</v>
      </c>
      <c r="D38" s="173">
        <f t="shared" si="1"/>
        <v>0</v>
      </c>
      <c r="E38" s="174">
        <f t="shared" si="2"/>
        <v>0</v>
      </c>
      <c r="F38" s="173">
        <f t="shared" si="3"/>
        <v>0</v>
      </c>
      <c r="G38" s="158">
        <f t="shared" si="4"/>
        <v>0</v>
      </c>
    </row>
    <row r="39" spans="1:7" ht="12.75" hidden="1">
      <c r="A39" s="29">
        <f t="shared" si="5"/>
        <v>19</v>
      </c>
      <c r="B39" s="173">
        <f t="shared" si="6"/>
        <v>0</v>
      </c>
      <c r="C39" s="173">
        <f t="shared" si="0"/>
        <v>0</v>
      </c>
      <c r="D39" s="173">
        <f t="shared" si="1"/>
        <v>0</v>
      </c>
      <c r="E39" s="174">
        <f t="shared" si="2"/>
        <v>0</v>
      </c>
      <c r="F39" s="173">
        <f t="shared" si="3"/>
        <v>0</v>
      </c>
      <c r="G39" s="158">
        <f t="shared" si="4"/>
        <v>0</v>
      </c>
    </row>
    <row r="40" spans="1:7" ht="12.75" hidden="1">
      <c r="A40" s="29">
        <f t="shared" si="5"/>
        <v>20</v>
      </c>
      <c r="B40" s="173">
        <f t="shared" si="6"/>
        <v>0</v>
      </c>
      <c r="C40" s="173">
        <f t="shared" si="0"/>
        <v>0</v>
      </c>
      <c r="D40" s="173">
        <f t="shared" si="1"/>
        <v>0</v>
      </c>
      <c r="E40" s="174">
        <f t="shared" si="2"/>
        <v>0</v>
      </c>
      <c r="F40" s="173">
        <f t="shared" si="3"/>
        <v>0</v>
      </c>
      <c r="G40" s="158">
        <f t="shared" si="4"/>
        <v>0</v>
      </c>
    </row>
    <row r="41" spans="1:7" ht="12.75" hidden="1">
      <c r="A41" s="29">
        <f t="shared" si="5"/>
        <v>21</v>
      </c>
      <c r="B41" s="173">
        <f t="shared" si="6"/>
        <v>0</v>
      </c>
      <c r="C41" s="173">
        <f t="shared" si="0"/>
        <v>0</v>
      </c>
      <c r="D41" s="173">
        <f t="shared" si="1"/>
        <v>0</v>
      </c>
      <c r="E41" s="174">
        <f t="shared" si="2"/>
        <v>0</v>
      </c>
      <c r="F41" s="173">
        <f t="shared" si="3"/>
        <v>0</v>
      </c>
      <c r="G41" s="158">
        <f t="shared" si="4"/>
        <v>0</v>
      </c>
    </row>
    <row r="42" spans="1:7" ht="12.75" hidden="1">
      <c r="A42" s="29">
        <f t="shared" si="5"/>
        <v>22</v>
      </c>
      <c r="B42" s="173">
        <f t="shared" si="6"/>
        <v>0</v>
      </c>
      <c r="C42" s="173">
        <f t="shared" si="0"/>
        <v>0</v>
      </c>
      <c r="D42" s="173">
        <f t="shared" si="1"/>
        <v>0</v>
      </c>
      <c r="E42" s="174">
        <f t="shared" si="2"/>
        <v>0</v>
      </c>
      <c r="F42" s="173">
        <f t="shared" si="3"/>
        <v>0</v>
      </c>
      <c r="G42" s="158">
        <f t="shared" si="4"/>
        <v>0</v>
      </c>
    </row>
    <row r="43" spans="1:7" ht="12.75" hidden="1">
      <c r="A43" s="29">
        <f t="shared" si="5"/>
        <v>23</v>
      </c>
      <c r="B43" s="173">
        <f t="shared" si="6"/>
        <v>0</v>
      </c>
      <c r="C43" s="173">
        <f t="shared" si="0"/>
        <v>0</v>
      </c>
      <c r="D43" s="173">
        <f t="shared" si="1"/>
        <v>0</v>
      </c>
      <c r="E43" s="174">
        <f t="shared" si="2"/>
        <v>0</v>
      </c>
      <c r="F43" s="173">
        <f t="shared" si="3"/>
        <v>0</v>
      </c>
      <c r="G43" s="158">
        <f t="shared" si="4"/>
        <v>0</v>
      </c>
    </row>
    <row r="44" spans="1:7" ht="12.75" hidden="1">
      <c r="A44" s="29">
        <f t="shared" si="5"/>
        <v>24</v>
      </c>
      <c r="B44" s="173">
        <f t="shared" si="6"/>
        <v>0</v>
      </c>
      <c r="C44" s="173">
        <f t="shared" si="0"/>
        <v>0</v>
      </c>
      <c r="D44" s="173">
        <f t="shared" si="1"/>
        <v>0</v>
      </c>
      <c r="E44" s="174">
        <f t="shared" si="2"/>
        <v>0</v>
      </c>
      <c r="F44" s="173">
        <f t="shared" si="3"/>
        <v>0</v>
      </c>
      <c r="G44" s="158">
        <f t="shared" si="4"/>
        <v>0</v>
      </c>
    </row>
    <row r="45" spans="1:7" ht="12.75" hidden="1">
      <c r="A45" s="29">
        <f t="shared" si="5"/>
        <v>25</v>
      </c>
      <c r="B45" s="173">
        <f t="shared" si="6"/>
        <v>0</v>
      </c>
      <c r="C45" s="173">
        <f t="shared" si="0"/>
        <v>0</v>
      </c>
      <c r="D45" s="173">
        <f t="shared" si="1"/>
        <v>0</v>
      </c>
      <c r="E45" s="174">
        <f t="shared" si="2"/>
        <v>0</v>
      </c>
      <c r="F45" s="173">
        <f t="shared" si="3"/>
        <v>0</v>
      </c>
      <c r="G45" s="158">
        <f t="shared" si="4"/>
        <v>0</v>
      </c>
    </row>
    <row r="46" spans="1:7" ht="12.75" hidden="1">
      <c r="A46" s="29">
        <f t="shared" si="5"/>
        <v>26</v>
      </c>
      <c r="B46" s="173">
        <f t="shared" si="6"/>
        <v>0</v>
      </c>
      <c r="C46" s="173">
        <f t="shared" si="0"/>
        <v>0</v>
      </c>
      <c r="D46" s="173">
        <f t="shared" si="1"/>
        <v>0</v>
      </c>
      <c r="E46" s="174">
        <f t="shared" si="2"/>
        <v>0</v>
      </c>
      <c r="F46" s="173">
        <f t="shared" si="3"/>
        <v>0</v>
      </c>
      <c r="G46" s="158">
        <f t="shared" si="4"/>
        <v>0</v>
      </c>
    </row>
    <row r="47" spans="1:7" ht="12.75" hidden="1">
      <c r="A47" s="29">
        <f t="shared" si="5"/>
        <v>27</v>
      </c>
      <c r="B47" s="173">
        <f t="shared" si="6"/>
        <v>0</v>
      </c>
      <c r="C47" s="173">
        <f t="shared" si="0"/>
        <v>0</v>
      </c>
      <c r="D47" s="173">
        <f t="shared" si="1"/>
        <v>0</v>
      </c>
      <c r="E47" s="174">
        <f t="shared" si="2"/>
        <v>0</v>
      </c>
      <c r="F47" s="173">
        <f t="shared" si="3"/>
        <v>0</v>
      </c>
      <c r="G47" s="158">
        <f t="shared" si="4"/>
        <v>0</v>
      </c>
    </row>
    <row r="48" spans="1:7" ht="12.75" hidden="1">
      <c r="A48" s="29">
        <f t="shared" si="5"/>
        <v>28</v>
      </c>
      <c r="B48" s="173">
        <f t="shared" si="6"/>
        <v>0</v>
      </c>
      <c r="C48" s="173">
        <f t="shared" si="0"/>
        <v>0</v>
      </c>
      <c r="D48" s="173">
        <f t="shared" si="1"/>
        <v>0</v>
      </c>
      <c r="E48" s="174">
        <f t="shared" si="2"/>
        <v>0</v>
      </c>
      <c r="F48" s="173">
        <f t="shared" si="3"/>
        <v>0</v>
      </c>
      <c r="G48" s="158">
        <f t="shared" si="4"/>
        <v>0</v>
      </c>
    </row>
    <row r="49" spans="1:7" ht="12.75" hidden="1">
      <c r="A49" s="29">
        <f t="shared" si="5"/>
        <v>29</v>
      </c>
      <c r="B49" s="173">
        <f t="shared" si="6"/>
        <v>0</v>
      </c>
      <c r="C49" s="173">
        <f t="shared" si="0"/>
        <v>0</v>
      </c>
      <c r="D49" s="173">
        <f t="shared" si="1"/>
        <v>0</v>
      </c>
      <c r="E49" s="174">
        <f t="shared" si="2"/>
        <v>0</v>
      </c>
      <c r="F49" s="173">
        <f t="shared" si="3"/>
        <v>0</v>
      </c>
      <c r="G49" s="158">
        <f t="shared" si="4"/>
        <v>0</v>
      </c>
    </row>
    <row r="50" spans="1:7" ht="12.75" hidden="1">
      <c r="A50" s="29">
        <f t="shared" si="5"/>
        <v>30</v>
      </c>
      <c r="B50" s="173">
        <f t="shared" si="6"/>
        <v>0</v>
      </c>
      <c r="C50" s="173">
        <f t="shared" si="0"/>
        <v>0</v>
      </c>
      <c r="D50" s="173">
        <f t="shared" si="1"/>
        <v>0</v>
      </c>
      <c r="E50" s="174">
        <f t="shared" si="2"/>
        <v>0</v>
      </c>
      <c r="F50" s="173">
        <f t="shared" si="3"/>
        <v>0</v>
      </c>
      <c r="G50" s="158">
        <f t="shared" si="4"/>
        <v>0</v>
      </c>
    </row>
    <row r="51" spans="1:7" ht="12.75" hidden="1">
      <c r="A51" s="29">
        <f t="shared" si="5"/>
        <v>31</v>
      </c>
      <c r="B51" s="173">
        <f t="shared" si="6"/>
        <v>0</v>
      </c>
      <c r="C51" s="173">
        <f t="shared" si="0"/>
        <v>0</v>
      </c>
      <c r="D51" s="173">
        <f t="shared" si="1"/>
        <v>0</v>
      </c>
      <c r="E51" s="174">
        <f t="shared" si="2"/>
        <v>0</v>
      </c>
      <c r="F51" s="173">
        <f t="shared" si="3"/>
        <v>0</v>
      </c>
      <c r="G51" s="158">
        <f t="shared" si="4"/>
        <v>0</v>
      </c>
    </row>
    <row r="52" spans="1:7" ht="12.75" hidden="1">
      <c r="A52" s="29">
        <f t="shared" si="5"/>
        <v>32</v>
      </c>
      <c r="B52" s="173">
        <f t="shared" si="6"/>
        <v>0</v>
      </c>
      <c r="C52" s="173">
        <f t="shared" si="0"/>
        <v>0</v>
      </c>
      <c r="D52" s="173">
        <f t="shared" si="1"/>
        <v>0</v>
      </c>
      <c r="E52" s="174">
        <f t="shared" si="2"/>
        <v>0</v>
      </c>
      <c r="F52" s="173">
        <f t="shared" si="3"/>
        <v>0</v>
      </c>
      <c r="G52" s="158">
        <f t="shared" si="4"/>
        <v>0</v>
      </c>
    </row>
    <row r="53" spans="1:7" ht="12.75" hidden="1">
      <c r="A53" s="29">
        <f t="shared" si="5"/>
        <v>33</v>
      </c>
      <c r="B53" s="173">
        <f t="shared" si="6"/>
        <v>0</v>
      </c>
      <c r="C53" s="173">
        <f t="shared" si="0"/>
        <v>0</v>
      </c>
      <c r="D53" s="173">
        <f t="shared" si="1"/>
        <v>0</v>
      </c>
      <c r="E53" s="174">
        <f t="shared" si="2"/>
        <v>0</v>
      </c>
      <c r="F53" s="173">
        <f t="shared" si="3"/>
        <v>0</v>
      </c>
      <c r="G53" s="158">
        <f t="shared" si="4"/>
        <v>0</v>
      </c>
    </row>
    <row r="54" spans="1:7" ht="12.75" hidden="1">
      <c r="A54" s="29">
        <f t="shared" si="5"/>
        <v>34</v>
      </c>
      <c r="B54" s="173">
        <f t="shared" si="6"/>
        <v>0</v>
      </c>
      <c r="C54" s="173">
        <f t="shared" si="0"/>
        <v>0</v>
      </c>
      <c r="D54" s="173">
        <f t="shared" si="1"/>
        <v>0</v>
      </c>
      <c r="E54" s="174">
        <f t="shared" si="2"/>
        <v>0</v>
      </c>
      <c r="F54" s="173">
        <f t="shared" si="3"/>
        <v>0</v>
      </c>
      <c r="G54" s="158">
        <f t="shared" si="4"/>
        <v>0</v>
      </c>
    </row>
    <row r="55" spans="1:7" ht="12.75" hidden="1">
      <c r="A55" s="29">
        <f t="shared" si="5"/>
        <v>35</v>
      </c>
      <c r="B55" s="173">
        <f t="shared" si="6"/>
        <v>0</v>
      </c>
      <c r="C55" s="173">
        <f t="shared" si="0"/>
        <v>0</v>
      </c>
      <c r="D55" s="173">
        <f t="shared" si="1"/>
        <v>0</v>
      </c>
      <c r="E55" s="174">
        <f t="shared" si="2"/>
        <v>0</v>
      </c>
      <c r="F55" s="173">
        <f t="shared" si="3"/>
        <v>0</v>
      </c>
      <c r="G55" s="158">
        <f t="shared" si="4"/>
        <v>0</v>
      </c>
    </row>
    <row r="56" spans="1:7" ht="12.75" hidden="1">
      <c r="A56" s="29">
        <f t="shared" si="5"/>
        <v>36</v>
      </c>
      <c r="B56" s="173">
        <f t="shared" si="6"/>
        <v>0</v>
      </c>
      <c r="C56" s="173">
        <f t="shared" si="0"/>
        <v>0</v>
      </c>
      <c r="D56" s="173">
        <f t="shared" si="1"/>
        <v>0</v>
      </c>
      <c r="E56" s="174">
        <f t="shared" si="2"/>
        <v>0</v>
      </c>
      <c r="F56" s="173">
        <f t="shared" si="3"/>
        <v>0</v>
      </c>
      <c r="G56" s="158">
        <f t="shared" si="4"/>
        <v>0</v>
      </c>
    </row>
    <row r="57" spans="1:7" ht="12.75" hidden="1">
      <c r="A57" s="29">
        <f t="shared" si="5"/>
        <v>37</v>
      </c>
      <c r="B57" s="173">
        <f t="shared" si="6"/>
        <v>0</v>
      </c>
      <c r="C57" s="173">
        <f t="shared" si="0"/>
        <v>0</v>
      </c>
      <c r="D57" s="173">
        <f t="shared" si="1"/>
        <v>0</v>
      </c>
      <c r="E57" s="174">
        <f t="shared" si="2"/>
        <v>0</v>
      </c>
      <c r="F57" s="173">
        <f t="shared" si="3"/>
        <v>0</v>
      </c>
      <c r="G57" s="158">
        <f t="shared" si="4"/>
        <v>0</v>
      </c>
    </row>
    <row r="58" spans="1:7" ht="12.75" hidden="1">
      <c r="A58" s="29">
        <f t="shared" si="5"/>
        <v>38</v>
      </c>
      <c r="B58" s="173">
        <f t="shared" si="6"/>
        <v>0</v>
      </c>
      <c r="C58" s="173">
        <f t="shared" si="0"/>
        <v>0</v>
      </c>
      <c r="D58" s="173">
        <f t="shared" si="1"/>
        <v>0</v>
      </c>
      <c r="E58" s="174">
        <f t="shared" si="2"/>
        <v>0</v>
      </c>
      <c r="F58" s="173">
        <f t="shared" si="3"/>
        <v>0</v>
      </c>
      <c r="G58" s="158">
        <f t="shared" si="4"/>
        <v>0</v>
      </c>
    </row>
    <row r="59" spans="1:7" ht="12.75" hidden="1">
      <c r="A59" s="29">
        <f t="shared" si="5"/>
        <v>39</v>
      </c>
      <c r="B59" s="173">
        <f t="shared" si="6"/>
        <v>0</v>
      </c>
      <c r="C59" s="173">
        <f t="shared" si="0"/>
        <v>0</v>
      </c>
      <c r="D59" s="173">
        <f t="shared" si="1"/>
        <v>0</v>
      </c>
      <c r="E59" s="174">
        <f t="shared" si="2"/>
        <v>0</v>
      </c>
      <c r="F59" s="173">
        <f t="shared" si="3"/>
        <v>0</v>
      </c>
      <c r="G59" s="158">
        <f t="shared" si="4"/>
        <v>0</v>
      </c>
    </row>
    <row r="60" spans="1:7" ht="13.5" hidden="1" thickBot="1">
      <c r="A60" s="29">
        <f t="shared" si="5"/>
        <v>40</v>
      </c>
      <c r="B60" s="173">
        <f t="shared" si="6"/>
        <v>0</v>
      </c>
      <c r="C60" s="173">
        <f t="shared" si="0"/>
        <v>0</v>
      </c>
      <c r="D60" s="173">
        <f t="shared" si="1"/>
        <v>0</v>
      </c>
      <c r="E60" s="174">
        <f t="shared" si="2"/>
        <v>0</v>
      </c>
      <c r="F60" s="173">
        <f t="shared" si="3"/>
        <v>0</v>
      </c>
      <c r="G60" s="158">
        <f t="shared" si="4"/>
        <v>0</v>
      </c>
    </row>
    <row r="61" spans="1:7" ht="12.75" hidden="1">
      <c r="A61" s="29">
        <f t="shared" si="5"/>
        <v>41</v>
      </c>
      <c r="B61" s="173">
        <f t="shared" si="6"/>
        <v>0</v>
      </c>
      <c r="C61" s="173">
        <f t="shared" si="0"/>
        <v>0</v>
      </c>
      <c r="D61" s="173">
        <f t="shared" si="1"/>
        <v>0</v>
      </c>
      <c r="E61" s="174">
        <f t="shared" si="2"/>
        <v>0</v>
      </c>
      <c r="F61" s="173">
        <f t="shared" si="3"/>
        <v>0</v>
      </c>
      <c r="G61" s="158">
        <f t="shared" si="4"/>
        <v>0</v>
      </c>
    </row>
    <row r="62" spans="1:7" ht="12.75" hidden="1">
      <c r="A62" s="29">
        <f t="shared" si="5"/>
        <v>42</v>
      </c>
      <c r="B62" s="173">
        <f t="shared" si="6"/>
        <v>0</v>
      </c>
      <c r="C62" s="173">
        <f t="shared" si="0"/>
        <v>0</v>
      </c>
      <c r="D62" s="173">
        <f t="shared" si="1"/>
        <v>0</v>
      </c>
      <c r="E62" s="174">
        <f t="shared" si="2"/>
        <v>0</v>
      </c>
      <c r="F62" s="173">
        <f t="shared" si="3"/>
        <v>0</v>
      </c>
      <c r="G62" s="158">
        <f t="shared" si="4"/>
        <v>0</v>
      </c>
    </row>
    <row r="63" spans="1:7" ht="12.75" hidden="1">
      <c r="A63" s="29">
        <f t="shared" si="5"/>
        <v>43</v>
      </c>
      <c r="B63" s="173">
        <f t="shared" si="6"/>
        <v>0</v>
      </c>
      <c r="C63" s="173">
        <f t="shared" si="0"/>
        <v>0</v>
      </c>
      <c r="D63" s="173">
        <f t="shared" si="1"/>
        <v>0</v>
      </c>
      <c r="E63" s="174">
        <f t="shared" si="2"/>
        <v>0</v>
      </c>
      <c r="F63" s="173">
        <f t="shared" si="3"/>
        <v>0</v>
      </c>
      <c r="G63" s="158">
        <f t="shared" si="4"/>
        <v>0</v>
      </c>
    </row>
    <row r="64" spans="1:7" ht="12.75" hidden="1">
      <c r="A64" s="29">
        <f t="shared" si="5"/>
        <v>44</v>
      </c>
      <c r="B64" s="173">
        <f t="shared" si="6"/>
        <v>0</v>
      </c>
      <c r="C64" s="173">
        <f t="shared" si="0"/>
        <v>0</v>
      </c>
      <c r="D64" s="173">
        <f t="shared" si="1"/>
        <v>0</v>
      </c>
      <c r="E64" s="174">
        <f t="shared" si="2"/>
        <v>0</v>
      </c>
      <c r="F64" s="173">
        <f t="shared" si="3"/>
        <v>0</v>
      </c>
      <c r="G64" s="158">
        <f t="shared" si="4"/>
        <v>0</v>
      </c>
    </row>
    <row r="65" spans="1:7" ht="12.75" hidden="1">
      <c r="A65" s="29">
        <f t="shared" si="5"/>
        <v>45</v>
      </c>
      <c r="B65" s="173">
        <f t="shared" si="6"/>
        <v>0</v>
      </c>
      <c r="C65" s="173">
        <f t="shared" si="0"/>
        <v>0</v>
      </c>
      <c r="D65" s="173">
        <f t="shared" si="1"/>
        <v>0</v>
      </c>
      <c r="E65" s="174">
        <f t="shared" si="2"/>
        <v>0</v>
      </c>
      <c r="F65" s="173">
        <f t="shared" si="3"/>
        <v>0</v>
      </c>
      <c r="G65" s="158">
        <f t="shared" si="4"/>
        <v>0</v>
      </c>
    </row>
    <row r="66" spans="1:7" ht="12.75" hidden="1">
      <c r="A66" s="29">
        <f t="shared" si="5"/>
        <v>46</v>
      </c>
      <c r="B66" s="173">
        <f t="shared" si="6"/>
        <v>0</v>
      </c>
      <c r="C66" s="173">
        <f t="shared" si="0"/>
        <v>0</v>
      </c>
      <c r="D66" s="173">
        <f t="shared" si="1"/>
        <v>0</v>
      </c>
      <c r="E66" s="174">
        <f t="shared" si="2"/>
        <v>0</v>
      </c>
      <c r="F66" s="173">
        <f t="shared" si="3"/>
        <v>0</v>
      </c>
      <c r="G66" s="158">
        <f t="shared" si="4"/>
        <v>0</v>
      </c>
    </row>
    <row r="67" spans="1:7" ht="12.75" hidden="1">
      <c r="A67" s="29">
        <f t="shared" si="5"/>
        <v>47</v>
      </c>
      <c r="B67" s="173">
        <f t="shared" si="6"/>
        <v>0</v>
      </c>
      <c r="C67" s="173">
        <f t="shared" si="0"/>
        <v>0</v>
      </c>
      <c r="D67" s="173">
        <f t="shared" si="1"/>
        <v>0</v>
      </c>
      <c r="E67" s="174">
        <f t="shared" si="2"/>
        <v>0</v>
      </c>
      <c r="F67" s="173">
        <f t="shared" si="3"/>
        <v>0</v>
      </c>
      <c r="G67" s="158">
        <f t="shared" si="4"/>
        <v>0</v>
      </c>
    </row>
    <row r="68" spans="1:7" ht="12.75" hidden="1">
      <c r="A68" s="29">
        <f t="shared" si="5"/>
        <v>48</v>
      </c>
      <c r="B68" s="173">
        <f t="shared" si="6"/>
        <v>0</v>
      </c>
      <c r="C68" s="173">
        <f t="shared" si="0"/>
        <v>0</v>
      </c>
      <c r="D68" s="173">
        <f t="shared" si="1"/>
        <v>0</v>
      </c>
      <c r="E68" s="174">
        <f t="shared" si="2"/>
        <v>0</v>
      </c>
      <c r="F68" s="173">
        <f t="shared" si="3"/>
        <v>0</v>
      </c>
      <c r="G68" s="158">
        <f t="shared" si="4"/>
        <v>0</v>
      </c>
    </row>
    <row r="69" spans="1:7" ht="12.75" hidden="1">
      <c r="A69" s="29">
        <f t="shared" si="5"/>
        <v>49</v>
      </c>
      <c r="B69" s="173">
        <f t="shared" si="6"/>
        <v>0</v>
      </c>
      <c r="C69" s="173">
        <f t="shared" si="0"/>
        <v>0</v>
      </c>
      <c r="D69" s="173">
        <f t="shared" si="1"/>
        <v>0</v>
      </c>
      <c r="E69" s="174">
        <f t="shared" si="2"/>
        <v>0</v>
      </c>
      <c r="F69" s="173">
        <f t="shared" si="3"/>
        <v>0</v>
      </c>
      <c r="G69" s="158">
        <f t="shared" si="4"/>
        <v>0</v>
      </c>
    </row>
    <row r="70" spans="1:7" ht="12.75" hidden="1">
      <c r="A70" s="29">
        <f t="shared" si="5"/>
        <v>50</v>
      </c>
      <c r="B70" s="173">
        <f t="shared" si="6"/>
        <v>0</v>
      </c>
      <c r="C70" s="173">
        <f t="shared" si="0"/>
        <v>0</v>
      </c>
      <c r="D70" s="173">
        <f t="shared" si="1"/>
        <v>0</v>
      </c>
      <c r="E70" s="174">
        <f t="shared" si="2"/>
        <v>0</v>
      </c>
      <c r="F70" s="173">
        <f t="shared" si="3"/>
        <v>0</v>
      </c>
      <c r="G70" s="158">
        <f t="shared" si="4"/>
        <v>0</v>
      </c>
    </row>
    <row r="71" spans="1:7" ht="12.75" hidden="1">
      <c r="A71" s="29">
        <f t="shared" si="5"/>
        <v>51</v>
      </c>
      <c r="B71" s="173">
        <f t="shared" si="6"/>
        <v>0</v>
      </c>
      <c r="C71" s="173">
        <f t="shared" si="0"/>
        <v>0</v>
      </c>
      <c r="D71" s="173">
        <f t="shared" si="1"/>
        <v>0</v>
      </c>
      <c r="E71" s="174">
        <f t="shared" si="2"/>
        <v>0</v>
      </c>
      <c r="F71" s="173">
        <f t="shared" si="3"/>
        <v>0</v>
      </c>
      <c r="G71" s="158">
        <f t="shared" si="4"/>
        <v>0</v>
      </c>
    </row>
    <row r="72" spans="1:7" ht="12.75" hidden="1">
      <c r="A72" s="29">
        <f t="shared" si="5"/>
        <v>52</v>
      </c>
      <c r="B72" s="173">
        <f t="shared" si="6"/>
        <v>0</v>
      </c>
      <c r="C72" s="173">
        <f t="shared" si="0"/>
        <v>0</v>
      </c>
      <c r="D72" s="173">
        <f t="shared" si="1"/>
        <v>0</v>
      </c>
      <c r="E72" s="174">
        <f t="shared" si="2"/>
        <v>0</v>
      </c>
      <c r="F72" s="173">
        <f t="shared" si="3"/>
        <v>0</v>
      </c>
      <c r="G72" s="158">
        <f t="shared" si="4"/>
        <v>0</v>
      </c>
    </row>
    <row r="73" spans="1:7" ht="12.75" hidden="1">
      <c r="A73" s="29">
        <f t="shared" si="5"/>
        <v>53</v>
      </c>
      <c r="B73" s="173">
        <f t="shared" si="6"/>
        <v>0</v>
      </c>
      <c r="C73" s="173">
        <f t="shared" si="0"/>
        <v>0</v>
      </c>
      <c r="D73" s="173">
        <f t="shared" si="1"/>
        <v>0</v>
      </c>
      <c r="E73" s="174">
        <f t="shared" si="2"/>
        <v>0</v>
      </c>
      <c r="F73" s="173">
        <f t="shared" si="3"/>
        <v>0</v>
      </c>
      <c r="G73" s="158">
        <f t="shared" si="4"/>
        <v>0</v>
      </c>
    </row>
    <row r="74" spans="1:7" ht="12.75" hidden="1">
      <c r="A74" s="29">
        <f t="shared" si="5"/>
        <v>54</v>
      </c>
      <c r="B74" s="173">
        <f t="shared" si="6"/>
        <v>0</v>
      </c>
      <c r="C74" s="173">
        <f t="shared" si="0"/>
        <v>0</v>
      </c>
      <c r="D74" s="173">
        <f t="shared" si="1"/>
        <v>0</v>
      </c>
      <c r="E74" s="174">
        <f t="shared" si="2"/>
        <v>0</v>
      </c>
      <c r="F74" s="173">
        <f t="shared" si="3"/>
        <v>0</v>
      </c>
      <c r="G74" s="158">
        <f t="shared" si="4"/>
        <v>0</v>
      </c>
    </row>
    <row r="75" spans="1:7" ht="12.75" hidden="1">
      <c r="A75" s="29">
        <f t="shared" si="5"/>
        <v>55</v>
      </c>
      <c r="B75" s="173">
        <f t="shared" si="6"/>
        <v>0</v>
      </c>
      <c r="C75" s="173">
        <f t="shared" si="0"/>
        <v>0</v>
      </c>
      <c r="D75" s="173">
        <f t="shared" si="1"/>
        <v>0</v>
      </c>
      <c r="E75" s="174">
        <f t="shared" si="2"/>
        <v>0</v>
      </c>
      <c r="F75" s="173">
        <f t="shared" si="3"/>
        <v>0</v>
      </c>
      <c r="G75" s="158">
        <f t="shared" si="4"/>
        <v>0</v>
      </c>
    </row>
    <row r="76" spans="1:7" ht="12.75" hidden="1">
      <c r="A76" s="29">
        <f t="shared" si="5"/>
        <v>56</v>
      </c>
      <c r="B76" s="173">
        <f t="shared" si="6"/>
        <v>0</v>
      </c>
      <c r="C76" s="173">
        <f t="shared" si="0"/>
        <v>0</v>
      </c>
      <c r="D76" s="173">
        <f t="shared" si="1"/>
        <v>0</v>
      </c>
      <c r="E76" s="174">
        <f t="shared" si="2"/>
        <v>0</v>
      </c>
      <c r="F76" s="173">
        <f t="shared" si="3"/>
        <v>0</v>
      </c>
      <c r="G76" s="158">
        <f t="shared" si="4"/>
        <v>0</v>
      </c>
    </row>
    <row r="77" spans="1:7" ht="12.75" hidden="1">
      <c r="A77" s="29">
        <f t="shared" si="5"/>
        <v>57</v>
      </c>
      <c r="B77" s="173">
        <f t="shared" si="6"/>
        <v>0</v>
      </c>
      <c r="C77" s="173">
        <f t="shared" si="0"/>
        <v>0</v>
      </c>
      <c r="D77" s="173">
        <f t="shared" si="1"/>
        <v>0</v>
      </c>
      <c r="E77" s="174">
        <f t="shared" si="2"/>
        <v>0</v>
      </c>
      <c r="F77" s="173">
        <f t="shared" si="3"/>
        <v>0</v>
      </c>
      <c r="G77" s="158">
        <f t="shared" si="4"/>
        <v>0</v>
      </c>
    </row>
    <row r="78" spans="1:7" ht="12.75" hidden="1">
      <c r="A78" s="29">
        <f t="shared" si="5"/>
        <v>58</v>
      </c>
      <c r="B78" s="173">
        <f t="shared" si="6"/>
        <v>0</v>
      </c>
      <c r="C78" s="173">
        <f t="shared" si="0"/>
        <v>0</v>
      </c>
      <c r="D78" s="173">
        <f t="shared" si="1"/>
        <v>0</v>
      </c>
      <c r="E78" s="174">
        <f t="shared" si="2"/>
        <v>0</v>
      </c>
      <c r="F78" s="173">
        <f t="shared" si="3"/>
        <v>0</v>
      </c>
      <c r="G78" s="158">
        <f t="shared" si="4"/>
        <v>0</v>
      </c>
    </row>
    <row r="79" spans="1:7" ht="12.75" hidden="1">
      <c r="A79" s="29">
        <f t="shared" si="5"/>
        <v>59</v>
      </c>
      <c r="B79" s="173">
        <f t="shared" si="6"/>
        <v>0</v>
      </c>
      <c r="C79" s="173">
        <f t="shared" si="0"/>
        <v>0</v>
      </c>
      <c r="D79" s="173">
        <f t="shared" si="1"/>
        <v>0</v>
      </c>
      <c r="E79" s="174">
        <f t="shared" si="2"/>
        <v>0</v>
      </c>
      <c r="F79" s="173">
        <f t="shared" si="3"/>
        <v>0</v>
      </c>
      <c r="G79" s="158">
        <f t="shared" si="4"/>
        <v>0</v>
      </c>
    </row>
    <row r="80" spans="1:7" ht="12.75" hidden="1">
      <c r="A80" s="29">
        <f t="shared" si="5"/>
        <v>60</v>
      </c>
      <c r="B80" s="173">
        <f t="shared" si="6"/>
        <v>0</v>
      </c>
      <c r="C80" s="173">
        <f t="shared" si="0"/>
        <v>0</v>
      </c>
      <c r="D80" s="173">
        <f t="shared" si="1"/>
        <v>0</v>
      </c>
      <c r="E80" s="174">
        <f t="shared" si="2"/>
        <v>0</v>
      </c>
      <c r="F80" s="173">
        <f t="shared" si="3"/>
        <v>0</v>
      </c>
      <c r="G80" s="158">
        <f t="shared" si="4"/>
        <v>0</v>
      </c>
    </row>
    <row r="81" spans="1:7" ht="12.75" hidden="1">
      <c r="A81" s="29">
        <f t="shared" si="5"/>
        <v>61</v>
      </c>
      <c r="B81" s="173">
        <f t="shared" si="6"/>
        <v>0</v>
      </c>
      <c r="C81" s="173">
        <f t="shared" si="0"/>
        <v>0</v>
      </c>
      <c r="D81" s="173">
        <f t="shared" si="1"/>
        <v>0</v>
      </c>
      <c r="E81" s="174">
        <f t="shared" si="2"/>
        <v>0</v>
      </c>
      <c r="F81" s="173">
        <f t="shared" si="3"/>
        <v>0</v>
      </c>
      <c r="G81" s="158">
        <f t="shared" si="4"/>
        <v>0</v>
      </c>
    </row>
    <row r="82" spans="1:7" ht="12.75" hidden="1">
      <c r="A82" s="29">
        <f t="shared" si="5"/>
        <v>62</v>
      </c>
      <c r="B82" s="173">
        <f t="shared" si="6"/>
        <v>0</v>
      </c>
      <c r="C82" s="173">
        <f t="shared" si="0"/>
        <v>0</v>
      </c>
      <c r="D82" s="173">
        <f t="shared" si="1"/>
        <v>0</v>
      </c>
      <c r="E82" s="174">
        <f t="shared" si="2"/>
        <v>0</v>
      </c>
      <c r="F82" s="173">
        <f t="shared" si="3"/>
        <v>0</v>
      </c>
      <c r="G82" s="158">
        <f t="shared" si="4"/>
        <v>0</v>
      </c>
    </row>
    <row r="83" spans="1:7" ht="12.75" hidden="1">
      <c r="A83" s="29">
        <f t="shared" si="5"/>
        <v>63</v>
      </c>
      <c r="B83" s="173">
        <f t="shared" si="6"/>
        <v>0</v>
      </c>
      <c r="C83" s="173">
        <f t="shared" si="0"/>
        <v>0</v>
      </c>
      <c r="D83" s="173">
        <f t="shared" si="1"/>
        <v>0</v>
      </c>
      <c r="E83" s="174">
        <f t="shared" si="2"/>
        <v>0</v>
      </c>
      <c r="F83" s="173">
        <f t="shared" si="3"/>
        <v>0</v>
      </c>
      <c r="G83" s="158">
        <f t="shared" si="4"/>
        <v>0</v>
      </c>
    </row>
    <row r="84" spans="1:7" ht="12.75" hidden="1">
      <c r="A84" s="29">
        <f t="shared" si="5"/>
        <v>64</v>
      </c>
      <c r="B84" s="173">
        <f t="shared" si="6"/>
        <v>0</v>
      </c>
      <c r="C84" s="173">
        <f t="shared" si="0"/>
        <v>0</v>
      </c>
      <c r="D84" s="173">
        <f t="shared" si="1"/>
        <v>0</v>
      </c>
      <c r="E84" s="174">
        <f t="shared" si="2"/>
        <v>0</v>
      </c>
      <c r="F84" s="173">
        <f t="shared" si="3"/>
        <v>0</v>
      </c>
      <c r="G84" s="158">
        <f t="shared" si="4"/>
        <v>0</v>
      </c>
    </row>
    <row r="85" spans="1:7" ht="12.75" hidden="1">
      <c r="A85" s="29">
        <f t="shared" si="5"/>
        <v>65</v>
      </c>
      <c r="B85" s="173">
        <f t="shared" si="6"/>
        <v>0</v>
      </c>
      <c r="C85" s="173">
        <f aca="true" t="shared" si="7" ref="C85:C148">IF(A85&lt;=$D$9,$D$14*-1,0)</f>
        <v>0</v>
      </c>
      <c r="D85" s="173">
        <f aca="true" t="shared" si="8" ref="D85:D148">IF(A85&gt;$D$9,0,$D$11*-1)</f>
        <v>0</v>
      </c>
      <c r="E85" s="174">
        <f aca="true" t="shared" si="9" ref="E85:E148">B85*$D$10</f>
        <v>0</v>
      </c>
      <c r="F85" s="173">
        <f aca="true" t="shared" si="10" ref="F85:F148">D85-E85</f>
        <v>0</v>
      </c>
      <c r="G85" s="158">
        <f aca="true" t="shared" si="11" ref="G85:G148">B85-F85</f>
        <v>0</v>
      </c>
    </row>
    <row r="86" spans="1:7" ht="12.75" hidden="1">
      <c r="A86" s="29">
        <f aca="true" t="shared" si="12" ref="A86:A149">A85+1</f>
        <v>66</v>
      </c>
      <c r="B86" s="173">
        <f aca="true" t="shared" si="13" ref="B86:B149">IF(A86&lt;=$D$9,G85,0)</f>
        <v>0</v>
      </c>
      <c r="C86" s="173">
        <f t="shared" si="7"/>
        <v>0</v>
      </c>
      <c r="D86" s="173">
        <f t="shared" si="8"/>
        <v>0</v>
      </c>
      <c r="E86" s="174">
        <f t="shared" si="9"/>
        <v>0</v>
      </c>
      <c r="F86" s="173">
        <f t="shared" si="10"/>
        <v>0</v>
      </c>
      <c r="G86" s="158">
        <f t="shared" si="11"/>
        <v>0</v>
      </c>
    </row>
    <row r="87" spans="1:7" ht="12.75" hidden="1">
      <c r="A87" s="29">
        <f t="shared" si="12"/>
        <v>67</v>
      </c>
      <c r="B87" s="173">
        <f t="shared" si="13"/>
        <v>0</v>
      </c>
      <c r="C87" s="173">
        <f t="shared" si="7"/>
        <v>0</v>
      </c>
      <c r="D87" s="173">
        <f t="shared" si="8"/>
        <v>0</v>
      </c>
      <c r="E87" s="174">
        <f t="shared" si="9"/>
        <v>0</v>
      </c>
      <c r="F87" s="173">
        <f t="shared" si="10"/>
        <v>0</v>
      </c>
      <c r="G87" s="158">
        <f t="shared" si="11"/>
        <v>0</v>
      </c>
    </row>
    <row r="88" spans="1:7" ht="12.75" hidden="1">
      <c r="A88" s="29">
        <f t="shared" si="12"/>
        <v>68</v>
      </c>
      <c r="B88" s="173">
        <f t="shared" si="13"/>
        <v>0</v>
      </c>
      <c r="C88" s="173">
        <f t="shared" si="7"/>
        <v>0</v>
      </c>
      <c r="D88" s="173">
        <f t="shared" si="8"/>
        <v>0</v>
      </c>
      <c r="E88" s="174">
        <f t="shared" si="9"/>
        <v>0</v>
      </c>
      <c r="F88" s="173">
        <f t="shared" si="10"/>
        <v>0</v>
      </c>
      <c r="G88" s="158">
        <f t="shared" si="11"/>
        <v>0</v>
      </c>
    </row>
    <row r="89" spans="1:7" ht="12.75" hidden="1">
      <c r="A89" s="29">
        <f t="shared" si="12"/>
        <v>69</v>
      </c>
      <c r="B89" s="173">
        <f t="shared" si="13"/>
        <v>0</v>
      </c>
      <c r="C89" s="173">
        <f t="shared" si="7"/>
        <v>0</v>
      </c>
      <c r="D89" s="173">
        <f t="shared" si="8"/>
        <v>0</v>
      </c>
      <c r="E89" s="174">
        <f t="shared" si="9"/>
        <v>0</v>
      </c>
      <c r="F89" s="173">
        <f t="shared" si="10"/>
        <v>0</v>
      </c>
      <c r="G89" s="158">
        <f t="shared" si="11"/>
        <v>0</v>
      </c>
    </row>
    <row r="90" spans="1:7" ht="12.75" hidden="1">
      <c r="A90" s="29">
        <f t="shared" si="12"/>
        <v>70</v>
      </c>
      <c r="B90" s="173">
        <f t="shared" si="13"/>
        <v>0</v>
      </c>
      <c r="C90" s="173">
        <f t="shared" si="7"/>
        <v>0</v>
      </c>
      <c r="D90" s="173">
        <f t="shared" si="8"/>
        <v>0</v>
      </c>
      <c r="E90" s="174">
        <f t="shared" si="9"/>
        <v>0</v>
      </c>
      <c r="F90" s="173">
        <f t="shared" si="10"/>
        <v>0</v>
      </c>
      <c r="G90" s="158">
        <f t="shared" si="11"/>
        <v>0</v>
      </c>
    </row>
    <row r="91" spans="1:7" ht="12.75" hidden="1">
      <c r="A91" s="29">
        <f t="shared" si="12"/>
        <v>71</v>
      </c>
      <c r="B91" s="173">
        <f t="shared" si="13"/>
        <v>0</v>
      </c>
      <c r="C91" s="173">
        <f t="shared" si="7"/>
        <v>0</v>
      </c>
      <c r="D91" s="173">
        <f t="shared" si="8"/>
        <v>0</v>
      </c>
      <c r="E91" s="174">
        <f t="shared" si="9"/>
        <v>0</v>
      </c>
      <c r="F91" s="173">
        <f t="shared" si="10"/>
        <v>0</v>
      </c>
      <c r="G91" s="158">
        <f t="shared" si="11"/>
        <v>0</v>
      </c>
    </row>
    <row r="92" spans="1:7" ht="12.75" hidden="1">
      <c r="A92" s="29">
        <f t="shared" si="12"/>
        <v>72</v>
      </c>
      <c r="B92" s="173">
        <f t="shared" si="13"/>
        <v>0</v>
      </c>
      <c r="C92" s="173">
        <f t="shared" si="7"/>
        <v>0</v>
      </c>
      <c r="D92" s="173">
        <f t="shared" si="8"/>
        <v>0</v>
      </c>
      <c r="E92" s="174">
        <f t="shared" si="9"/>
        <v>0</v>
      </c>
      <c r="F92" s="173">
        <f t="shared" si="10"/>
        <v>0</v>
      </c>
      <c r="G92" s="158">
        <f t="shared" si="11"/>
        <v>0</v>
      </c>
    </row>
    <row r="93" spans="1:7" ht="12.75" hidden="1">
      <c r="A93" s="29">
        <f t="shared" si="12"/>
        <v>73</v>
      </c>
      <c r="B93" s="173">
        <f t="shared" si="13"/>
        <v>0</v>
      </c>
      <c r="C93" s="173">
        <f t="shared" si="7"/>
        <v>0</v>
      </c>
      <c r="D93" s="173">
        <f t="shared" si="8"/>
        <v>0</v>
      </c>
      <c r="E93" s="174">
        <f t="shared" si="9"/>
        <v>0</v>
      </c>
      <c r="F93" s="173">
        <f t="shared" si="10"/>
        <v>0</v>
      </c>
      <c r="G93" s="158">
        <f t="shared" si="11"/>
        <v>0</v>
      </c>
    </row>
    <row r="94" spans="1:7" ht="12.75" hidden="1">
      <c r="A94" s="29">
        <f t="shared" si="12"/>
        <v>74</v>
      </c>
      <c r="B94" s="173">
        <f t="shared" si="13"/>
        <v>0</v>
      </c>
      <c r="C94" s="173">
        <f t="shared" si="7"/>
        <v>0</v>
      </c>
      <c r="D94" s="173">
        <f t="shared" si="8"/>
        <v>0</v>
      </c>
      <c r="E94" s="174">
        <f t="shared" si="9"/>
        <v>0</v>
      </c>
      <c r="F94" s="173">
        <f t="shared" si="10"/>
        <v>0</v>
      </c>
      <c r="G94" s="158">
        <f t="shared" si="11"/>
        <v>0</v>
      </c>
    </row>
    <row r="95" spans="1:7" ht="12.75" hidden="1">
      <c r="A95" s="29">
        <f t="shared" si="12"/>
        <v>75</v>
      </c>
      <c r="B95" s="173">
        <f t="shared" si="13"/>
        <v>0</v>
      </c>
      <c r="C95" s="173">
        <f t="shared" si="7"/>
        <v>0</v>
      </c>
      <c r="D95" s="173">
        <f t="shared" si="8"/>
        <v>0</v>
      </c>
      <c r="E95" s="174">
        <f t="shared" si="9"/>
        <v>0</v>
      </c>
      <c r="F95" s="173">
        <f t="shared" si="10"/>
        <v>0</v>
      </c>
      <c r="G95" s="158">
        <f t="shared" si="11"/>
        <v>0</v>
      </c>
    </row>
    <row r="96" spans="1:7" ht="12.75" hidden="1">
      <c r="A96" s="29">
        <f t="shared" si="12"/>
        <v>76</v>
      </c>
      <c r="B96" s="173">
        <f t="shared" si="13"/>
        <v>0</v>
      </c>
      <c r="C96" s="173">
        <f t="shared" si="7"/>
        <v>0</v>
      </c>
      <c r="D96" s="173">
        <f t="shared" si="8"/>
        <v>0</v>
      </c>
      <c r="E96" s="174">
        <f t="shared" si="9"/>
        <v>0</v>
      </c>
      <c r="F96" s="173">
        <f t="shared" si="10"/>
        <v>0</v>
      </c>
      <c r="G96" s="158">
        <f t="shared" si="11"/>
        <v>0</v>
      </c>
    </row>
    <row r="97" spans="1:7" ht="12.75" hidden="1">
      <c r="A97" s="29">
        <f t="shared" si="12"/>
        <v>77</v>
      </c>
      <c r="B97" s="173">
        <f t="shared" si="13"/>
        <v>0</v>
      </c>
      <c r="C97" s="173">
        <f t="shared" si="7"/>
        <v>0</v>
      </c>
      <c r="D97" s="173">
        <f t="shared" si="8"/>
        <v>0</v>
      </c>
      <c r="E97" s="174">
        <f t="shared" si="9"/>
        <v>0</v>
      </c>
      <c r="F97" s="173">
        <f t="shared" si="10"/>
        <v>0</v>
      </c>
      <c r="G97" s="158">
        <f t="shared" si="11"/>
        <v>0</v>
      </c>
    </row>
    <row r="98" spans="1:7" ht="12.75" hidden="1">
      <c r="A98" s="29">
        <f t="shared" si="12"/>
        <v>78</v>
      </c>
      <c r="B98" s="173">
        <f t="shared" si="13"/>
        <v>0</v>
      </c>
      <c r="C98" s="173">
        <f t="shared" si="7"/>
        <v>0</v>
      </c>
      <c r="D98" s="173">
        <f t="shared" si="8"/>
        <v>0</v>
      </c>
      <c r="E98" s="174">
        <f t="shared" si="9"/>
        <v>0</v>
      </c>
      <c r="F98" s="173">
        <f t="shared" si="10"/>
        <v>0</v>
      </c>
      <c r="G98" s="158">
        <f t="shared" si="11"/>
        <v>0</v>
      </c>
    </row>
    <row r="99" spans="1:7" ht="12.75" hidden="1">
      <c r="A99" s="29">
        <f t="shared" si="12"/>
        <v>79</v>
      </c>
      <c r="B99" s="173">
        <f t="shared" si="13"/>
        <v>0</v>
      </c>
      <c r="C99" s="173">
        <f t="shared" si="7"/>
        <v>0</v>
      </c>
      <c r="D99" s="173">
        <f t="shared" si="8"/>
        <v>0</v>
      </c>
      <c r="E99" s="174">
        <f t="shared" si="9"/>
        <v>0</v>
      </c>
      <c r="F99" s="173">
        <f t="shared" si="10"/>
        <v>0</v>
      </c>
      <c r="G99" s="158">
        <f t="shared" si="11"/>
        <v>0</v>
      </c>
    </row>
    <row r="100" spans="1:7" ht="12.75" hidden="1">
      <c r="A100" s="29">
        <f t="shared" si="12"/>
        <v>80</v>
      </c>
      <c r="B100" s="173">
        <f t="shared" si="13"/>
        <v>0</v>
      </c>
      <c r="C100" s="173">
        <f t="shared" si="7"/>
        <v>0</v>
      </c>
      <c r="D100" s="173">
        <f t="shared" si="8"/>
        <v>0</v>
      </c>
      <c r="E100" s="174">
        <f t="shared" si="9"/>
        <v>0</v>
      </c>
      <c r="F100" s="173">
        <f t="shared" si="10"/>
        <v>0</v>
      </c>
      <c r="G100" s="158">
        <f t="shared" si="11"/>
        <v>0</v>
      </c>
    </row>
    <row r="101" spans="1:7" ht="12.75" hidden="1">
      <c r="A101" s="29">
        <f t="shared" si="12"/>
        <v>81</v>
      </c>
      <c r="B101" s="173">
        <f t="shared" si="13"/>
        <v>0</v>
      </c>
      <c r="C101" s="173">
        <f t="shared" si="7"/>
        <v>0</v>
      </c>
      <c r="D101" s="173">
        <f t="shared" si="8"/>
        <v>0</v>
      </c>
      <c r="E101" s="174">
        <f t="shared" si="9"/>
        <v>0</v>
      </c>
      <c r="F101" s="173">
        <f t="shared" si="10"/>
        <v>0</v>
      </c>
      <c r="G101" s="158">
        <f t="shared" si="11"/>
        <v>0</v>
      </c>
    </row>
    <row r="102" spans="1:7" ht="12.75" hidden="1">
      <c r="A102" s="29">
        <f t="shared" si="12"/>
        <v>82</v>
      </c>
      <c r="B102" s="173">
        <f t="shared" si="13"/>
        <v>0</v>
      </c>
      <c r="C102" s="173">
        <f t="shared" si="7"/>
        <v>0</v>
      </c>
      <c r="D102" s="173">
        <f t="shared" si="8"/>
        <v>0</v>
      </c>
      <c r="E102" s="174">
        <f t="shared" si="9"/>
        <v>0</v>
      </c>
      <c r="F102" s="173">
        <f t="shared" si="10"/>
        <v>0</v>
      </c>
      <c r="G102" s="158">
        <f t="shared" si="11"/>
        <v>0</v>
      </c>
    </row>
    <row r="103" spans="1:7" ht="12.75" hidden="1">
      <c r="A103" s="29">
        <f t="shared" si="12"/>
        <v>83</v>
      </c>
      <c r="B103" s="173">
        <f t="shared" si="13"/>
        <v>0</v>
      </c>
      <c r="C103" s="173">
        <f t="shared" si="7"/>
        <v>0</v>
      </c>
      <c r="D103" s="173">
        <f t="shared" si="8"/>
        <v>0</v>
      </c>
      <c r="E103" s="174">
        <f t="shared" si="9"/>
        <v>0</v>
      </c>
      <c r="F103" s="173">
        <f t="shared" si="10"/>
        <v>0</v>
      </c>
      <c r="G103" s="158">
        <f t="shared" si="11"/>
        <v>0</v>
      </c>
    </row>
    <row r="104" spans="1:7" ht="12.75" hidden="1">
      <c r="A104" s="29">
        <f t="shared" si="12"/>
        <v>84</v>
      </c>
      <c r="B104" s="173">
        <f t="shared" si="13"/>
        <v>0</v>
      </c>
      <c r="C104" s="173">
        <f t="shared" si="7"/>
        <v>0</v>
      </c>
      <c r="D104" s="173">
        <f t="shared" si="8"/>
        <v>0</v>
      </c>
      <c r="E104" s="174">
        <f t="shared" si="9"/>
        <v>0</v>
      </c>
      <c r="F104" s="173">
        <f t="shared" si="10"/>
        <v>0</v>
      </c>
      <c r="G104" s="158">
        <f t="shared" si="11"/>
        <v>0</v>
      </c>
    </row>
    <row r="105" spans="1:7" ht="12.75" hidden="1">
      <c r="A105" s="29">
        <f t="shared" si="12"/>
        <v>85</v>
      </c>
      <c r="B105" s="173">
        <f t="shared" si="13"/>
        <v>0</v>
      </c>
      <c r="C105" s="173">
        <f t="shared" si="7"/>
        <v>0</v>
      </c>
      <c r="D105" s="173">
        <f t="shared" si="8"/>
        <v>0</v>
      </c>
      <c r="E105" s="174">
        <f t="shared" si="9"/>
        <v>0</v>
      </c>
      <c r="F105" s="173">
        <f t="shared" si="10"/>
        <v>0</v>
      </c>
      <c r="G105" s="158">
        <f t="shared" si="11"/>
        <v>0</v>
      </c>
    </row>
    <row r="106" spans="1:7" ht="12.75" hidden="1">
      <c r="A106" s="29">
        <f t="shared" si="12"/>
        <v>86</v>
      </c>
      <c r="B106" s="173">
        <f t="shared" si="13"/>
        <v>0</v>
      </c>
      <c r="C106" s="173">
        <f t="shared" si="7"/>
        <v>0</v>
      </c>
      <c r="D106" s="173">
        <f t="shared" si="8"/>
        <v>0</v>
      </c>
      <c r="E106" s="174">
        <f t="shared" si="9"/>
        <v>0</v>
      </c>
      <c r="F106" s="173">
        <f t="shared" si="10"/>
        <v>0</v>
      </c>
      <c r="G106" s="158">
        <f t="shared" si="11"/>
        <v>0</v>
      </c>
    </row>
    <row r="107" spans="1:7" ht="12.75" hidden="1">
      <c r="A107" s="29">
        <f t="shared" si="12"/>
        <v>87</v>
      </c>
      <c r="B107" s="173">
        <f t="shared" si="13"/>
        <v>0</v>
      </c>
      <c r="C107" s="173">
        <f t="shared" si="7"/>
        <v>0</v>
      </c>
      <c r="D107" s="173">
        <f t="shared" si="8"/>
        <v>0</v>
      </c>
      <c r="E107" s="174">
        <f t="shared" si="9"/>
        <v>0</v>
      </c>
      <c r="F107" s="173">
        <f t="shared" si="10"/>
        <v>0</v>
      </c>
      <c r="G107" s="158">
        <f t="shared" si="11"/>
        <v>0</v>
      </c>
    </row>
    <row r="108" spans="1:7" ht="12.75" hidden="1">
      <c r="A108" s="29">
        <f t="shared" si="12"/>
        <v>88</v>
      </c>
      <c r="B108" s="173">
        <f t="shared" si="13"/>
        <v>0</v>
      </c>
      <c r="C108" s="173">
        <f t="shared" si="7"/>
        <v>0</v>
      </c>
      <c r="D108" s="173">
        <f t="shared" si="8"/>
        <v>0</v>
      </c>
      <c r="E108" s="174">
        <f t="shared" si="9"/>
        <v>0</v>
      </c>
      <c r="F108" s="173">
        <f t="shared" si="10"/>
        <v>0</v>
      </c>
      <c r="G108" s="158">
        <f t="shared" si="11"/>
        <v>0</v>
      </c>
    </row>
    <row r="109" spans="1:7" ht="12.75" hidden="1">
      <c r="A109" s="29">
        <f t="shared" si="12"/>
        <v>89</v>
      </c>
      <c r="B109" s="173">
        <f t="shared" si="13"/>
        <v>0</v>
      </c>
      <c r="C109" s="173">
        <f t="shared" si="7"/>
        <v>0</v>
      </c>
      <c r="D109" s="173">
        <f t="shared" si="8"/>
        <v>0</v>
      </c>
      <c r="E109" s="174">
        <f t="shared" si="9"/>
        <v>0</v>
      </c>
      <c r="F109" s="173">
        <f t="shared" si="10"/>
        <v>0</v>
      </c>
      <c r="G109" s="158">
        <f t="shared" si="11"/>
        <v>0</v>
      </c>
    </row>
    <row r="110" spans="1:7" ht="12.75" hidden="1">
      <c r="A110" s="29">
        <f t="shared" si="12"/>
        <v>90</v>
      </c>
      <c r="B110" s="173">
        <f t="shared" si="13"/>
        <v>0</v>
      </c>
      <c r="C110" s="173">
        <f t="shared" si="7"/>
        <v>0</v>
      </c>
      <c r="D110" s="173">
        <f t="shared" si="8"/>
        <v>0</v>
      </c>
      <c r="E110" s="174">
        <f t="shared" si="9"/>
        <v>0</v>
      </c>
      <c r="F110" s="173">
        <f t="shared" si="10"/>
        <v>0</v>
      </c>
      <c r="G110" s="158">
        <f t="shared" si="11"/>
        <v>0</v>
      </c>
    </row>
    <row r="111" spans="1:7" ht="12.75" hidden="1">
      <c r="A111" s="29">
        <f t="shared" si="12"/>
        <v>91</v>
      </c>
      <c r="B111" s="173">
        <f t="shared" si="13"/>
        <v>0</v>
      </c>
      <c r="C111" s="173">
        <f t="shared" si="7"/>
        <v>0</v>
      </c>
      <c r="D111" s="173">
        <f t="shared" si="8"/>
        <v>0</v>
      </c>
      <c r="E111" s="174">
        <f t="shared" si="9"/>
        <v>0</v>
      </c>
      <c r="F111" s="173">
        <f t="shared" si="10"/>
        <v>0</v>
      </c>
      <c r="G111" s="158">
        <f t="shared" si="11"/>
        <v>0</v>
      </c>
    </row>
    <row r="112" spans="1:7" ht="12.75" hidden="1">
      <c r="A112" s="29">
        <f t="shared" si="12"/>
        <v>92</v>
      </c>
      <c r="B112" s="173">
        <f t="shared" si="13"/>
        <v>0</v>
      </c>
      <c r="C112" s="173">
        <f t="shared" si="7"/>
        <v>0</v>
      </c>
      <c r="D112" s="173">
        <f t="shared" si="8"/>
        <v>0</v>
      </c>
      <c r="E112" s="174">
        <f t="shared" si="9"/>
        <v>0</v>
      </c>
      <c r="F112" s="173">
        <f t="shared" si="10"/>
        <v>0</v>
      </c>
      <c r="G112" s="158">
        <f t="shared" si="11"/>
        <v>0</v>
      </c>
    </row>
    <row r="113" spans="1:7" ht="12.75" hidden="1">
      <c r="A113" s="29">
        <f t="shared" si="12"/>
        <v>93</v>
      </c>
      <c r="B113" s="173">
        <f t="shared" si="13"/>
        <v>0</v>
      </c>
      <c r="C113" s="173">
        <f t="shared" si="7"/>
        <v>0</v>
      </c>
      <c r="D113" s="173">
        <f t="shared" si="8"/>
        <v>0</v>
      </c>
      <c r="E113" s="174">
        <f t="shared" si="9"/>
        <v>0</v>
      </c>
      <c r="F113" s="173">
        <f t="shared" si="10"/>
        <v>0</v>
      </c>
      <c r="G113" s="158">
        <f t="shared" si="11"/>
        <v>0</v>
      </c>
    </row>
    <row r="114" spans="1:7" ht="12.75" hidden="1">
      <c r="A114" s="29">
        <f t="shared" si="12"/>
        <v>94</v>
      </c>
      <c r="B114" s="173">
        <f t="shared" si="13"/>
        <v>0</v>
      </c>
      <c r="C114" s="173">
        <f t="shared" si="7"/>
        <v>0</v>
      </c>
      <c r="D114" s="173">
        <f t="shared" si="8"/>
        <v>0</v>
      </c>
      <c r="E114" s="174">
        <f t="shared" si="9"/>
        <v>0</v>
      </c>
      <c r="F114" s="173">
        <f t="shared" si="10"/>
        <v>0</v>
      </c>
      <c r="G114" s="158">
        <f t="shared" si="11"/>
        <v>0</v>
      </c>
    </row>
    <row r="115" spans="1:7" ht="12.75" hidden="1">
      <c r="A115" s="29">
        <f t="shared" si="12"/>
        <v>95</v>
      </c>
      <c r="B115" s="173">
        <f t="shared" si="13"/>
        <v>0</v>
      </c>
      <c r="C115" s="173">
        <f t="shared" si="7"/>
        <v>0</v>
      </c>
      <c r="D115" s="173">
        <f t="shared" si="8"/>
        <v>0</v>
      </c>
      <c r="E115" s="174">
        <f t="shared" si="9"/>
        <v>0</v>
      </c>
      <c r="F115" s="173">
        <f t="shared" si="10"/>
        <v>0</v>
      </c>
      <c r="G115" s="158">
        <f t="shared" si="11"/>
        <v>0</v>
      </c>
    </row>
    <row r="116" spans="1:7" ht="12.75" hidden="1">
      <c r="A116" s="29">
        <f t="shared" si="12"/>
        <v>96</v>
      </c>
      <c r="B116" s="173">
        <f t="shared" si="13"/>
        <v>0</v>
      </c>
      <c r="C116" s="173">
        <f t="shared" si="7"/>
        <v>0</v>
      </c>
      <c r="D116" s="173">
        <f t="shared" si="8"/>
        <v>0</v>
      </c>
      <c r="E116" s="174">
        <f t="shared" si="9"/>
        <v>0</v>
      </c>
      <c r="F116" s="173">
        <f t="shared" si="10"/>
        <v>0</v>
      </c>
      <c r="G116" s="158">
        <f t="shared" si="11"/>
        <v>0</v>
      </c>
    </row>
    <row r="117" spans="1:7" ht="12.75" hidden="1">
      <c r="A117" s="29">
        <f t="shared" si="12"/>
        <v>97</v>
      </c>
      <c r="B117" s="173">
        <f t="shared" si="13"/>
        <v>0</v>
      </c>
      <c r="C117" s="173">
        <f t="shared" si="7"/>
        <v>0</v>
      </c>
      <c r="D117" s="173">
        <f t="shared" si="8"/>
        <v>0</v>
      </c>
      <c r="E117" s="174">
        <f t="shared" si="9"/>
        <v>0</v>
      </c>
      <c r="F117" s="173">
        <f t="shared" si="10"/>
        <v>0</v>
      </c>
      <c r="G117" s="158">
        <f t="shared" si="11"/>
        <v>0</v>
      </c>
    </row>
    <row r="118" spans="1:7" ht="12.75" hidden="1">
      <c r="A118" s="29">
        <f t="shared" si="12"/>
        <v>98</v>
      </c>
      <c r="B118" s="173">
        <f t="shared" si="13"/>
        <v>0</v>
      </c>
      <c r="C118" s="173">
        <f t="shared" si="7"/>
        <v>0</v>
      </c>
      <c r="D118" s="173">
        <f t="shared" si="8"/>
        <v>0</v>
      </c>
      <c r="E118" s="174">
        <f t="shared" si="9"/>
        <v>0</v>
      </c>
      <c r="F118" s="173">
        <f t="shared" si="10"/>
        <v>0</v>
      </c>
      <c r="G118" s="158">
        <f t="shared" si="11"/>
        <v>0</v>
      </c>
    </row>
    <row r="119" spans="1:7" ht="12.75" hidden="1">
      <c r="A119" s="29">
        <f t="shared" si="12"/>
        <v>99</v>
      </c>
      <c r="B119" s="173">
        <f t="shared" si="13"/>
        <v>0</v>
      </c>
      <c r="C119" s="173">
        <f t="shared" si="7"/>
        <v>0</v>
      </c>
      <c r="D119" s="173">
        <f t="shared" si="8"/>
        <v>0</v>
      </c>
      <c r="E119" s="174">
        <f t="shared" si="9"/>
        <v>0</v>
      </c>
      <c r="F119" s="173">
        <f t="shared" si="10"/>
        <v>0</v>
      </c>
      <c r="G119" s="158">
        <f t="shared" si="11"/>
        <v>0</v>
      </c>
    </row>
    <row r="120" spans="1:7" ht="12.75" hidden="1">
      <c r="A120" s="29">
        <f t="shared" si="12"/>
        <v>100</v>
      </c>
      <c r="B120" s="173">
        <f t="shared" si="13"/>
        <v>0</v>
      </c>
      <c r="C120" s="173">
        <f t="shared" si="7"/>
        <v>0</v>
      </c>
      <c r="D120" s="173">
        <f t="shared" si="8"/>
        <v>0</v>
      </c>
      <c r="E120" s="174">
        <f t="shared" si="9"/>
        <v>0</v>
      </c>
      <c r="F120" s="173">
        <f t="shared" si="10"/>
        <v>0</v>
      </c>
      <c r="G120" s="158">
        <f t="shared" si="11"/>
        <v>0</v>
      </c>
    </row>
    <row r="121" spans="1:7" ht="12.75" hidden="1">
      <c r="A121" s="29">
        <f t="shared" si="12"/>
        <v>101</v>
      </c>
      <c r="B121" s="173">
        <f t="shared" si="13"/>
        <v>0</v>
      </c>
      <c r="C121" s="173">
        <f t="shared" si="7"/>
        <v>0</v>
      </c>
      <c r="D121" s="173">
        <f t="shared" si="8"/>
        <v>0</v>
      </c>
      <c r="E121" s="174">
        <f t="shared" si="9"/>
        <v>0</v>
      </c>
      <c r="F121" s="173">
        <f t="shared" si="10"/>
        <v>0</v>
      </c>
      <c r="G121" s="158">
        <f t="shared" si="11"/>
        <v>0</v>
      </c>
    </row>
    <row r="122" spans="1:7" ht="12.75" hidden="1">
      <c r="A122" s="29">
        <f t="shared" si="12"/>
        <v>102</v>
      </c>
      <c r="B122" s="173">
        <f t="shared" si="13"/>
        <v>0</v>
      </c>
      <c r="C122" s="173">
        <f t="shared" si="7"/>
        <v>0</v>
      </c>
      <c r="D122" s="173">
        <f t="shared" si="8"/>
        <v>0</v>
      </c>
      <c r="E122" s="174">
        <f t="shared" si="9"/>
        <v>0</v>
      </c>
      <c r="F122" s="173">
        <f t="shared" si="10"/>
        <v>0</v>
      </c>
      <c r="G122" s="158">
        <f t="shared" si="11"/>
        <v>0</v>
      </c>
    </row>
    <row r="123" spans="1:7" ht="12.75" hidden="1">
      <c r="A123" s="29">
        <f t="shared" si="12"/>
        <v>103</v>
      </c>
      <c r="B123" s="173">
        <f t="shared" si="13"/>
        <v>0</v>
      </c>
      <c r="C123" s="173">
        <f t="shared" si="7"/>
        <v>0</v>
      </c>
      <c r="D123" s="173">
        <f t="shared" si="8"/>
        <v>0</v>
      </c>
      <c r="E123" s="174">
        <f t="shared" si="9"/>
        <v>0</v>
      </c>
      <c r="F123" s="173">
        <f t="shared" si="10"/>
        <v>0</v>
      </c>
      <c r="G123" s="158">
        <f t="shared" si="11"/>
        <v>0</v>
      </c>
    </row>
    <row r="124" spans="1:7" ht="12.75" hidden="1">
      <c r="A124" s="29">
        <f t="shared" si="12"/>
        <v>104</v>
      </c>
      <c r="B124" s="173">
        <f t="shared" si="13"/>
        <v>0</v>
      </c>
      <c r="C124" s="173">
        <f t="shared" si="7"/>
        <v>0</v>
      </c>
      <c r="D124" s="173">
        <f t="shared" si="8"/>
        <v>0</v>
      </c>
      <c r="E124" s="174">
        <f t="shared" si="9"/>
        <v>0</v>
      </c>
      <c r="F124" s="173">
        <f t="shared" si="10"/>
        <v>0</v>
      </c>
      <c r="G124" s="158">
        <f t="shared" si="11"/>
        <v>0</v>
      </c>
    </row>
    <row r="125" spans="1:7" ht="12.75" hidden="1">
      <c r="A125" s="29">
        <f t="shared" si="12"/>
        <v>105</v>
      </c>
      <c r="B125" s="173">
        <f t="shared" si="13"/>
        <v>0</v>
      </c>
      <c r="C125" s="173">
        <f t="shared" si="7"/>
        <v>0</v>
      </c>
      <c r="D125" s="173">
        <f t="shared" si="8"/>
        <v>0</v>
      </c>
      <c r="E125" s="174">
        <f t="shared" si="9"/>
        <v>0</v>
      </c>
      <c r="F125" s="173">
        <f t="shared" si="10"/>
        <v>0</v>
      </c>
      <c r="G125" s="158">
        <f t="shared" si="11"/>
        <v>0</v>
      </c>
    </row>
    <row r="126" spans="1:7" ht="12.75" hidden="1">
      <c r="A126" s="29">
        <f t="shared" si="12"/>
        <v>106</v>
      </c>
      <c r="B126" s="173">
        <f t="shared" si="13"/>
        <v>0</v>
      </c>
      <c r="C126" s="173">
        <f t="shared" si="7"/>
        <v>0</v>
      </c>
      <c r="D126" s="173">
        <f t="shared" si="8"/>
        <v>0</v>
      </c>
      <c r="E126" s="174">
        <f t="shared" si="9"/>
        <v>0</v>
      </c>
      <c r="F126" s="173">
        <f t="shared" si="10"/>
        <v>0</v>
      </c>
      <c r="G126" s="158">
        <f t="shared" si="11"/>
        <v>0</v>
      </c>
    </row>
    <row r="127" spans="1:7" ht="12.75" hidden="1">
      <c r="A127" s="29">
        <f t="shared" si="12"/>
        <v>107</v>
      </c>
      <c r="B127" s="173">
        <f t="shared" si="13"/>
        <v>0</v>
      </c>
      <c r="C127" s="173">
        <f t="shared" si="7"/>
        <v>0</v>
      </c>
      <c r="D127" s="173">
        <f t="shared" si="8"/>
        <v>0</v>
      </c>
      <c r="E127" s="174">
        <f t="shared" si="9"/>
        <v>0</v>
      </c>
      <c r="F127" s="173">
        <f t="shared" si="10"/>
        <v>0</v>
      </c>
      <c r="G127" s="158">
        <f t="shared" si="11"/>
        <v>0</v>
      </c>
    </row>
    <row r="128" spans="1:7" ht="12.75" hidden="1">
      <c r="A128" s="29">
        <f t="shared" si="12"/>
        <v>108</v>
      </c>
      <c r="B128" s="173">
        <f t="shared" si="13"/>
        <v>0</v>
      </c>
      <c r="C128" s="173">
        <f t="shared" si="7"/>
        <v>0</v>
      </c>
      <c r="D128" s="173">
        <f t="shared" si="8"/>
        <v>0</v>
      </c>
      <c r="E128" s="174">
        <f t="shared" si="9"/>
        <v>0</v>
      </c>
      <c r="F128" s="173">
        <f t="shared" si="10"/>
        <v>0</v>
      </c>
      <c r="G128" s="158">
        <f t="shared" si="11"/>
        <v>0</v>
      </c>
    </row>
    <row r="129" spans="1:7" ht="12.75" hidden="1">
      <c r="A129" s="29">
        <f t="shared" si="12"/>
        <v>109</v>
      </c>
      <c r="B129" s="173">
        <f t="shared" si="13"/>
        <v>0</v>
      </c>
      <c r="C129" s="173">
        <f t="shared" si="7"/>
        <v>0</v>
      </c>
      <c r="D129" s="173">
        <f t="shared" si="8"/>
        <v>0</v>
      </c>
      <c r="E129" s="174">
        <f t="shared" si="9"/>
        <v>0</v>
      </c>
      <c r="F129" s="173">
        <f t="shared" si="10"/>
        <v>0</v>
      </c>
      <c r="G129" s="158">
        <f t="shared" si="11"/>
        <v>0</v>
      </c>
    </row>
    <row r="130" spans="1:7" ht="12.75" hidden="1">
      <c r="A130" s="29">
        <f t="shared" si="12"/>
        <v>110</v>
      </c>
      <c r="B130" s="173">
        <f t="shared" si="13"/>
        <v>0</v>
      </c>
      <c r="C130" s="173">
        <f t="shared" si="7"/>
        <v>0</v>
      </c>
      <c r="D130" s="173">
        <f t="shared" si="8"/>
        <v>0</v>
      </c>
      <c r="E130" s="174">
        <f t="shared" si="9"/>
        <v>0</v>
      </c>
      <c r="F130" s="173">
        <f t="shared" si="10"/>
        <v>0</v>
      </c>
      <c r="G130" s="158">
        <f t="shared" si="11"/>
        <v>0</v>
      </c>
    </row>
    <row r="131" spans="1:7" ht="12.75" hidden="1">
      <c r="A131" s="29">
        <f t="shared" si="12"/>
        <v>111</v>
      </c>
      <c r="B131" s="173">
        <f t="shared" si="13"/>
        <v>0</v>
      </c>
      <c r="C131" s="173">
        <f t="shared" si="7"/>
        <v>0</v>
      </c>
      <c r="D131" s="173">
        <f t="shared" si="8"/>
        <v>0</v>
      </c>
      <c r="E131" s="174">
        <f t="shared" si="9"/>
        <v>0</v>
      </c>
      <c r="F131" s="173">
        <f t="shared" si="10"/>
        <v>0</v>
      </c>
      <c r="G131" s="158">
        <f t="shared" si="11"/>
        <v>0</v>
      </c>
    </row>
    <row r="132" spans="1:7" ht="12.75" hidden="1">
      <c r="A132" s="29">
        <f t="shared" si="12"/>
        <v>112</v>
      </c>
      <c r="B132" s="173">
        <f t="shared" si="13"/>
        <v>0</v>
      </c>
      <c r="C132" s="173">
        <f t="shared" si="7"/>
        <v>0</v>
      </c>
      <c r="D132" s="173">
        <f t="shared" si="8"/>
        <v>0</v>
      </c>
      <c r="E132" s="174">
        <f t="shared" si="9"/>
        <v>0</v>
      </c>
      <c r="F132" s="173">
        <f t="shared" si="10"/>
        <v>0</v>
      </c>
      <c r="G132" s="158">
        <f t="shared" si="11"/>
        <v>0</v>
      </c>
    </row>
    <row r="133" spans="1:7" ht="12.75" hidden="1">
      <c r="A133" s="29">
        <f t="shared" si="12"/>
        <v>113</v>
      </c>
      <c r="B133" s="173">
        <f t="shared" si="13"/>
        <v>0</v>
      </c>
      <c r="C133" s="173">
        <f t="shared" si="7"/>
        <v>0</v>
      </c>
      <c r="D133" s="173">
        <f t="shared" si="8"/>
        <v>0</v>
      </c>
      <c r="E133" s="174">
        <f t="shared" si="9"/>
        <v>0</v>
      </c>
      <c r="F133" s="173">
        <f t="shared" si="10"/>
        <v>0</v>
      </c>
      <c r="G133" s="158">
        <f t="shared" si="11"/>
        <v>0</v>
      </c>
    </row>
    <row r="134" spans="1:7" ht="12.75" hidden="1">
      <c r="A134" s="29">
        <f t="shared" si="12"/>
        <v>114</v>
      </c>
      <c r="B134" s="173">
        <f t="shared" si="13"/>
        <v>0</v>
      </c>
      <c r="C134" s="173">
        <f t="shared" si="7"/>
        <v>0</v>
      </c>
      <c r="D134" s="173">
        <f t="shared" si="8"/>
        <v>0</v>
      </c>
      <c r="E134" s="174">
        <f t="shared" si="9"/>
        <v>0</v>
      </c>
      <c r="F134" s="173">
        <f t="shared" si="10"/>
        <v>0</v>
      </c>
      <c r="G134" s="158">
        <f t="shared" si="11"/>
        <v>0</v>
      </c>
    </row>
    <row r="135" spans="1:7" ht="12.75" hidden="1">
      <c r="A135" s="29">
        <f t="shared" si="12"/>
        <v>115</v>
      </c>
      <c r="B135" s="173">
        <f t="shared" si="13"/>
        <v>0</v>
      </c>
      <c r="C135" s="173">
        <f t="shared" si="7"/>
        <v>0</v>
      </c>
      <c r="D135" s="173">
        <f t="shared" si="8"/>
        <v>0</v>
      </c>
      <c r="E135" s="174">
        <f t="shared" si="9"/>
        <v>0</v>
      </c>
      <c r="F135" s="173">
        <f t="shared" si="10"/>
        <v>0</v>
      </c>
      <c r="G135" s="158">
        <f t="shared" si="11"/>
        <v>0</v>
      </c>
    </row>
    <row r="136" spans="1:7" ht="12.75" hidden="1">
      <c r="A136" s="29">
        <f t="shared" si="12"/>
        <v>116</v>
      </c>
      <c r="B136" s="173">
        <f t="shared" si="13"/>
        <v>0</v>
      </c>
      <c r="C136" s="173">
        <f t="shared" si="7"/>
        <v>0</v>
      </c>
      <c r="D136" s="173">
        <f t="shared" si="8"/>
        <v>0</v>
      </c>
      <c r="E136" s="174">
        <f t="shared" si="9"/>
        <v>0</v>
      </c>
      <c r="F136" s="173">
        <f t="shared" si="10"/>
        <v>0</v>
      </c>
      <c r="G136" s="158">
        <f t="shared" si="11"/>
        <v>0</v>
      </c>
    </row>
    <row r="137" spans="1:7" ht="12.75" hidden="1">
      <c r="A137" s="29">
        <f t="shared" si="12"/>
        <v>117</v>
      </c>
      <c r="B137" s="173">
        <f t="shared" si="13"/>
        <v>0</v>
      </c>
      <c r="C137" s="173">
        <f t="shared" si="7"/>
        <v>0</v>
      </c>
      <c r="D137" s="173">
        <f t="shared" si="8"/>
        <v>0</v>
      </c>
      <c r="E137" s="174">
        <f t="shared" si="9"/>
        <v>0</v>
      </c>
      <c r="F137" s="173">
        <f t="shared" si="10"/>
        <v>0</v>
      </c>
      <c r="G137" s="158">
        <f t="shared" si="11"/>
        <v>0</v>
      </c>
    </row>
    <row r="138" spans="1:7" ht="12.75" hidden="1">
      <c r="A138" s="29">
        <f t="shared" si="12"/>
        <v>118</v>
      </c>
      <c r="B138" s="173">
        <f t="shared" si="13"/>
        <v>0</v>
      </c>
      <c r="C138" s="173">
        <f t="shared" si="7"/>
        <v>0</v>
      </c>
      <c r="D138" s="173">
        <f t="shared" si="8"/>
        <v>0</v>
      </c>
      <c r="E138" s="174">
        <f t="shared" si="9"/>
        <v>0</v>
      </c>
      <c r="F138" s="173">
        <f t="shared" si="10"/>
        <v>0</v>
      </c>
      <c r="G138" s="158">
        <f t="shared" si="11"/>
        <v>0</v>
      </c>
    </row>
    <row r="139" spans="1:7" ht="12.75" hidden="1">
      <c r="A139" s="29">
        <f t="shared" si="12"/>
        <v>119</v>
      </c>
      <c r="B139" s="173">
        <f t="shared" si="13"/>
        <v>0</v>
      </c>
      <c r="C139" s="173">
        <f t="shared" si="7"/>
        <v>0</v>
      </c>
      <c r="D139" s="173">
        <f t="shared" si="8"/>
        <v>0</v>
      </c>
      <c r="E139" s="174">
        <f t="shared" si="9"/>
        <v>0</v>
      </c>
      <c r="F139" s="173">
        <f t="shared" si="10"/>
        <v>0</v>
      </c>
      <c r="G139" s="158">
        <f t="shared" si="11"/>
        <v>0</v>
      </c>
    </row>
    <row r="140" spans="1:7" ht="12.75" hidden="1">
      <c r="A140" s="29">
        <f t="shared" si="12"/>
        <v>120</v>
      </c>
      <c r="B140" s="173">
        <f t="shared" si="13"/>
        <v>0</v>
      </c>
      <c r="C140" s="173">
        <f t="shared" si="7"/>
        <v>0</v>
      </c>
      <c r="D140" s="173">
        <f t="shared" si="8"/>
        <v>0</v>
      </c>
      <c r="E140" s="174">
        <f t="shared" si="9"/>
        <v>0</v>
      </c>
      <c r="F140" s="173">
        <f t="shared" si="10"/>
        <v>0</v>
      </c>
      <c r="G140" s="158">
        <f t="shared" si="11"/>
        <v>0</v>
      </c>
    </row>
    <row r="141" spans="1:7" ht="12.75" hidden="1">
      <c r="A141" s="29">
        <f t="shared" si="12"/>
        <v>121</v>
      </c>
      <c r="B141" s="173">
        <f t="shared" si="13"/>
        <v>0</v>
      </c>
      <c r="C141" s="173">
        <f t="shared" si="7"/>
        <v>0</v>
      </c>
      <c r="D141" s="173">
        <f t="shared" si="8"/>
        <v>0</v>
      </c>
      <c r="E141" s="174">
        <f t="shared" si="9"/>
        <v>0</v>
      </c>
      <c r="F141" s="173">
        <f t="shared" si="10"/>
        <v>0</v>
      </c>
      <c r="G141" s="158">
        <f t="shared" si="11"/>
        <v>0</v>
      </c>
    </row>
    <row r="142" spans="1:7" ht="12.75" hidden="1">
      <c r="A142" s="29">
        <f t="shared" si="12"/>
        <v>122</v>
      </c>
      <c r="B142" s="173">
        <f t="shared" si="13"/>
        <v>0</v>
      </c>
      <c r="C142" s="173">
        <f t="shared" si="7"/>
        <v>0</v>
      </c>
      <c r="D142" s="173">
        <f t="shared" si="8"/>
        <v>0</v>
      </c>
      <c r="E142" s="174">
        <f t="shared" si="9"/>
        <v>0</v>
      </c>
      <c r="F142" s="173">
        <f t="shared" si="10"/>
        <v>0</v>
      </c>
      <c r="G142" s="158">
        <f t="shared" si="11"/>
        <v>0</v>
      </c>
    </row>
    <row r="143" spans="1:7" ht="12.75" hidden="1">
      <c r="A143" s="29">
        <f t="shared" si="12"/>
        <v>123</v>
      </c>
      <c r="B143" s="173">
        <f t="shared" si="13"/>
        <v>0</v>
      </c>
      <c r="C143" s="173">
        <f t="shared" si="7"/>
        <v>0</v>
      </c>
      <c r="D143" s="173">
        <f t="shared" si="8"/>
        <v>0</v>
      </c>
      <c r="E143" s="174">
        <f t="shared" si="9"/>
        <v>0</v>
      </c>
      <c r="F143" s="173">
        <f t="shared" si="10"/>
        <v>0</v>
      </c>
      <c r="G143" s="158">
        <f t="shared" si="11"/>
        <v>0</v>
      </c>
    </row>
    <row r="144" spans="1:7" ht="12.75" hidden="1">
      <c r="A144" s="29">
        <f t="shared" si="12"/>
        <v>124</v>
      </c>
      <c r="B144" s="173">
        <f t="shared" si="13"/>
        <v>0</v>
      </c>
      <c r="C144" s="173">
        <f t="shared" si="7"/>
        <v>0</v>
      </c>
      <c r="D144" s="173">
        <f t="shared" si="8"/>
        <v>0</v>
      </c>
      <c r="E144" s="174">
        <f t="shared" si="9"/>
        <v>0</v>
      </c>
      <c r="F144" s="173">
        <f t="shared" si="10"/>
        <v>0</v>
      </c>
      <c r="G144" s="158">
        <f t="shared" si="11"/>
        <v>0</v>
      </c>
    </row>
    <row r="145" spans="1:7" ht="12.75" hidden="1">
      <c r="A145" s="29">
        <f t="shared" si="12"/>
        <v>125</v>
      </c>
      <c r="B145" s="173">
        <f t="shared" si="13"/>
        <v>0</v>
      </c>
      <c r="C145" s="173">
        <f t="shared" si="7"/>
        <v>0</v>
      </c>
      <c r="D145" s="173">
        <f t="shared" si="8"/>
        <v>0</v>
      </c>
      <c r="E145" s="174">
        <f t="shared" si="9"/>
        <v>0</v>
      </c>
      <c r="F145" s="173">
        <f t="shared" si="10"/>
        <v>0</v>
      </c>
      <c r="G145" s="158">
        <f t="shared" si="11"/>
        <v>0</v>
      </c>
    </row>
    <row r="146" spans="1:7" ht="12.75" hidden="1">
      <c r="A146" s="29">
        <f t="shared" si="12"/>
        <v>126</v>
      </c>
      <c r="B146" s="173">
        <f t="shared" si="13"/>
        <v>0</v>
      </c>
      <c r="C146" s="173">
        <f t="shared" si="7"/>
        <v>0</v>
      </c>
      <c r="D146" s="173">
        <f t="shared" si="8"/>
        <v>0</v>
      </c>
      <c r="E146" s="174">
        <f t="shared" si="9"/>
        <v>0</v>
      </c>
      <c r="F146" s="173">
        <f t="shared" si="10"/>
        <v>0</v>
      </c>
      <c r="G146" s="158">
        <f t="shared" si="11"/>
        <v>0</v>
      </c>
    </row>
    <row r="147" spans="1:7" ht="12.75" hidden="1">
      <c r="A147" s="29">
        <f t="shared" si="12"/>
        <v>127</v>
      </c>
      <c r="B147" s="173">
        <f t="shared" si="13"/>
        <v>0</v>
      </c>
      <c r="C147" s="173">
        <f t="shared" si="7"/>
        <v>0</v>
      </c>
      <c r="D147" s="173">
        <f t="shared" si="8"/>
        <v>0</v>
      </c>
      <c r="E147" s="174">
        <f t="shared" si="9"/>
        <v>0</v>
      </c>
      <c r="F147" s="173">
        <f t="shared" si="10"/>
        <v>0</v>
      </c>
      <c r="G147" s="158">
        <f t="shared" si="11"/>
        <v>0</v>
      </c>
    </row>
    <row r="148" spans="1:7" ht="12.75" hidden="1">
      <c r="A148" s="29">
        <f t="shared" si="12"/>
        <v>128</v>
      </c>
      <c r="B148" s="173">
        <f t="shared" si="13"/>
        <v>0</v>
      </c>
      <c r="C148" s="173">
        <f t="shared" si="7"/>
        <v>0</v>
      </c>
      <c r="D148" s="173">
        <f t="shared" si="8"/>
        <v>0</v>
      </c>
      <c r="E148" s="174">
        <f t="shared" si="9"/>
        <v>0</v>
      </c>
      <c r="F148" s="173">
        <f t="shared" si="10"/>
        <v>0</v>
      </c>
      <c r="G148" s="158">
        <f t="shared" si="11"/>
        <v>0</v>
      </c>
    </row>
    <row r="149" spans="1:7" ht="12.75" hidden="1">
      <c r="A149" s="29">
        <f t="shared" si="12"/>
        <v>129</v>
      </c>
      <c r="B149" s="173">
        <f t="shared" si="13"/>
        <v>0</v>
      </c>
      <c r="C149" s="173">
        <f aca="true" t="shared" si="14" ref="C149:C212">IF(A149&lt;=$D$9,$D$14*-1,0)</f>
        <v>0</v>
      </c>
      <c r="D149" s="173">
        <f aca="true" t="shared" si="15" ref="D149:D212">IF(A149&gt;$D$9,0,$D$11*-1)</f>
        <v>0</v>
      </c>
      <c r="E149" s="174">
        <f aca="true" t="shared" si="16" ref="E149:E212">B149*$D$10</f>
        <v>0</v>
      </c>
      <c r="F149" s="173">
        <f aca="true" t="shared" si="17" ref="F149:F212">D149-E149</f>
        <v>0</v>
      </c>
      <c r="G149" s="158">
        <f aca="true" t="shared" si="18" ref="G149:G212">B149-F149</f>
        <v>0</v>
      </c>
    </row>
    <row r="150" spans="1:7" ht="12.75" hidden="1">
      <c r="A150" s="29">
        <f aca="true" t="shared" si="19" ref="A150:A213">A149+1</f>
        <v>130</v>
      </c>
      <c r="B150" s="173">
        <f aca="true" t="shared" si="20" ref="B150:B213">IF(A150&lt;=$D$9,G149,0)</f>
        <v>0</v>
      </c>
      <c r="C150" s="173">
        <f t="shared" si="14"/>
        <v>0</v>
      </c>
      <c r="D150" s="173">
        <f t="shared" si="15"/>
        <v>0</v>
      </c>
      <c r="E150" s="174">
        <f t="shared" si="16"/>
        <v>0</v>
      </c>
      <c r="F150" s="173">
        <f t="shared" si="17"/>
        <v>0</v>
      </c>
      <c r="G150" s="158">
        <f t="shared" si="18"/>
        <v>0</v>
      </c>
    </row>
    <row r="151" spans="1:7" ht="12.75" hidden="1">
      <c r="A151" s="29">
        <f t="shared" si="19"/>
        <v>131</v>
      </c>
      <c r="B151" s="173">
        <f t="shared" si="20"/>
        <v>0</v>
      </c>
      <c r="C151" s="173">
        <f t="shared" si="14"/>
        <v>0</v>
      </c>
      <c r="D151" s="173">
        <f t="shared" si="15"/>
        <v>0</v>
      </c>
      <c r="E151" s="174">
        <f t="shared" si="16"/>
        <v>0</v>
      </c>
      <c r="F151" s="173">
        <f t="shared" si="17"/>
        <v>0</v>
      </c>
      <c r="G151" s="158">
        <f t="shared" si="18"/>
        <v>0</v>
      </c>
    </row>
    <row r="152" spans="1:7" ht="12.75" hidden="1">
      <c r="A152" s="29">
        <f t="shared" si="19"/>
        <v>132</v>
      </c>
      <c r="B152" s="173">
        <f t="shared" si="20"/>
        <v>0</v>
      </c>
      <c r="C152" s="173">
        <f t="shared" si="14"/>
        <v>0</v>
      </c>
      <c r="D152" s="173">
        <f t="shared" si="15"/>
        <v>0</v>
      </c>
      <c r="E152" s="174">
        <f t="shared" si="16"/>
        <v>0</v>
      </c>
      <c r="F152" s="173">
        <f t="shared" si="17"/>
        <v>0</v>
      </c>
      <c r="G152" s="158">
        <f t="shared" si="18"/>
        <v>0</v>
      </c>
    </row>
    <row r="153" spans="1:7" ht="12.75" hidden="1">
      <c r="A153" s="29">
        <f t="shared" si="19"/>
        <v>133</v>
      </c>
      <c r="B153" s="173">
        <f t="shared" si="20"/>
        <v>0</v>
      </c>
      <c r="C153" s="173">
        <f t="shared" si="14"/>
        <v>0</v>
      </c>
      <c r="D153" s="173">
        <f t="shared" si="15"/>
        <v>0</v>
      </c>
      <c r="E153" s="174">
        <f t="shared" si="16"/>
        <v>0</v>
      </c>
      <c r="F153" s="173">
        <f t="shared" si="17"/>
        <v>0</v>
      </c>
      <c r="G153" s="158">
        <f t="shared" si="18"/>
        <v>0</v>
      </c>
    </row>
    <row r="154" spans="1:7" ht="12.75" hidden="1">
      <c r="A154" s="29">
        <f t="shared" si="19"/>
        <v>134</v>
      </c>
      <c r="B154" s="173">
        <f t="shared" si="20"/>
        <v>0</v>
      </c>
      <c r="C154" s="173">
        <f t="shared" si="14"/>
        <v>0</v>
      </c>
      <c r="D154" s="173">
        <f t="shared" si="15"/>
        <v>0</v>
      </c>
      <c r="E154" s="174">
        <f t="shared" si="16"/>
        <v>0</v>
      </c>
      <c r="F154" s="173">
        <f t="shared" si="17"/>
        <v>0</v>
      </c>
      <c r="G154" s="158">
        <f t="shared" si="18"/>
        <v>0</v>
      </c>
    </row>
    <row r="155" spans="1:7" ht="12.75" hidden="1">
      <c r="A155" s="29">
        <f t="shared" si="19"/>
        <v>135</v>
      </c>
      <c r="B155" s="173">
        <f t="shared" si="20"/>
        <v>0</v>
      </c>
      <c r="C155" s="173">
        <f t="shared" si="14"/>
        <v>0</v>
      </c>
      <c r="D155" s="173">
        <f t="shared" si="15"/>
        <v>0</v>
      </c>
      <c r="E155" s="174">
        <f t="shared" si="16"/>
        <v>0</v>
      </c>
      <c r="F155" s="173">
        <f t="shared" si="17"/>
        <v>0</v>
      </c>
      <c r="G155" s="158">
        <f t="shared" si="18"/>
        <v>0</v>
      </c>
    </row>
    <row r="156" spans="1:7" ht="12.75" hidden="1">
      <c r="A156" s="29">
        <f t="shared" si="19"/>
        <v>136</v>
      </c>
      <c r="B156" s="173">
        <f t="shared" si="20"/>
        <v>0</v>
      </c>
      <c r="C156" s="173">
        <f t="shared" si="14"/>
        <v>0</v>
      </c>
      <c r="D156" s="173">
        <f t="shared" si="15"/>
        <v>0</v>
      </c>
      <c r="E156" s="174">
        <f t="shared" si="16"/>
        <v>0</v>
      </c>
      <c r="F156" s="173">
        <f t="shared" si="17"/>
        <v>0</v>
      </c>
      <c r="G156" s="158">
        <f t="shared" si="18"/>
        <v>0</v>
      </c>
    </row>
    <row r="157" spans="1:7" ht="12.75" hidden="1">
      <c r="A157" s="29">
        <f t="shared" si="19"/>
        <v>137</v>
      </c>
      <c r="B157" s="173">
        <f t="shared" si="20"/>
        <v>0</v>
      </c>
      <c r="C157" s="173">
        <f t="shared" si="14"/>
        <v>0</v>
      </c>
      <c r="D157" s="173">
        <f t="shared" si="15"/>
        <v>0</v>
      </c>
      <c r="E157" s="174">
        <f t="shared" si="16"/>
        <v>0</v>
      </c>
      <c r="F157" s="173">
        <f t="shared" si="17"/>
        <v>0</v>
      </c>
      <c r="G157" s="158">
        <f t="shared" si="18"/>
        <v>0</v>
      </c>
    </row>
    <row r="158" spans="1:7" ht="12.75" hidden="1">
      <c r="A158" s="29">
        <f t="shared" si="19"/>
        <v>138</v>
      </c>
      <c r="B158" s="173">
        <f t="shared" si="20"/>
        <v>0</v>
      </c>
      <c r="C158" s="173">
        <f t="shared" si="14"/>
        <v>0</v>
      </c>
      <c r="D158" s="173">
        <f t="shared" si="15"/>
        <v>0</v>
      </c>
      <c r="E158" s="174">
        <f t="shared" si="16"/>
        <v>0</v>
      </c>
      <c r="F158" s="173">
        <f t="shared" si="17"/>
        <v>0</v>
      </c>
      <c r="G158" s="158">
        <f t="shared" si="18"/>
        <v>0</v>
      </c>
    </row>
    <row r="159" spans="1:7" ht="12.75" hidden="1">
      <c r="A159" s="29">
        <f t="shared" si="19"/>
        <v>139</v>
      </c>
      <c r="B159" s="173">
        <f t="shared" si="20"/>
        <v>0</v>
      </c>
      <c r="C159" s="173">
        <f t="shared" si="14"/>
        <v>0</v>
      </c>
      <c r="D159" s="173">
        <f t="shared" si="15"/>
        <v>0</v>
      </c>
      <c r="E159" s="174">
        <f t="shared" si="16"/>
        <v>0</v>
      </c>
      <c r="F159" s="173">
        <f t="shared" si="17"/>
        <v>0</v>
      </c>
      <c r="G159" s="158">
        <f t="shared" si="18"/>
        <v>0</v>
      </c>
    </row>
    <row r="160" spans="1:7" ht="12.75" hidden="1">
      <c r="A160" s="29">
        <f t="shared" si="19"/>
        <v>140</v>
      </c>
      <c r="B160" s="173">
        <f t="shared" si="20"/>
        <v>0</v>
      </c>
      <c r="C160" s="173">
        <f t="shared" si="14"/>
        <v>0</v>
      </c>
      <c r="D160" s="173">
        <f t="shared" si="15"/>
        <v>0</v>
      </c>
      <c r="E160" s="174">
        <f t="shared" si="16"/>
        <v>0</v>
      </c>
      <c r="F160" s="173">
        <f t="shared" si="17"/>
        <v>0</v>
      </c>
      <c r="G160" s="158">
        <f t="shared" si="18"/>
        <v>0</v>
      </c>
    </row>
    <row r="161" spans="1:7" ht="12.75" hidden="1">
      <c r="A161" s="29">
        <f t="shared" si="19"/>
        <v>141</v>
      </c>
      <c r="B161" s="173">
        <f t="shared" si="20"/>
        <v>0</v>
      </c>
      <c r="C161" s="173">
        <f t="shared" si="14"/>
        <v>0</v>
      </c>
      <c r="D161" s="173">
        <f t="shared" si="15"/>
        <v>0</v>
      </c>
      <c r="E161" s="174">
        <f t="shared" si="16"/>
        <v>0</v>
      </c>
      <c r="F161" s="173">
        <f t="shared" si="17"/>
        <v>0</v>
      </c>
      <c r="G161" s="158">
        <f t="shared" si="18"/>
        <v>0</v>
      </c>
    </row>
    <row r="162" spans="1:7" ht="12.75" hidden="1">
      <c r="A162" s="29">
        <f t="shared" si="19"/>
        <v>142</v>
      </c>
      <c r="B162" s="173">
        <f t="shared" si="20"/>
        <v>0</v>
      </c>
      <c r="C162" s="173">
        <f t="shared" si="14"/>
        <v>0</v>
      </c>
      <c r="D162" s="173">
        <f t="shared" si="15"/>
        <v>0</v>
      </c>
      <c r="E162" s="174">
        <f t="shared" si="16"/>
        <v>0</v>
      </c>
      <c r="F162" s="173">
        <f t="shared" si="17"/>
        <v>0</v>
      </c>
      <c r="G162" s="158">
        <f t="shared" si="18"/>
        <v>0</v>
      </c>
    </row>
    <row r="163" spans="1:7" ht="12.75" hidden="1">
      <c r="A163" s="29">
        <f t="shared" si="19"/>
        <v>143</v>
      </c>
      <c r="B163" s="173">
        <f t="shared" si="20"/>
        <v>0</v>
      </c>
      <c r="C163" s="173">
        <f t="shared" si="14"/>
        <v>0</v>
      </c>
      <c r="D163" s="173">
        <f t="shared" si="15"/>
        <v>0</v>
      </c>
      <c r="E163" s="174">
        <f t="shared" si="16"/>
        <v>0</v>
      </c>
      <c r="F163" s="173">
        <f t="shared" si="17"/>
        <v>0</v>
      </c>
      <c r="G163" s="158">
        <f t="shared" si="18"/>
        <v>0</v>
      </c>
    </row>
    <row r="164" spans="1:7" ht="12.75" hidden="1">
      <c r="A164" s="29">
        <f t="shared" si="19"/>
        <v>144</v>
      </c>
      <c r="B164" s="173">
        <f t="shared" si="20"/>
        <v>0</v>
      </c>
      <c r="C164" s="173">
        <f t="shared" si="14"/>
        <v>0</v>
      </c>
      <c r="D164" s="173">
        <f t="shared" si="15"/>
        <v>0</v>
      </c>
      <c r="E164" s="174">
        <f t="shared" si="16"/>
        <v>0</v>
      </c>
      <c r="F164" s="173">
        <f t="shared" si="17"/>
        <v>0</v>
      </c>
      <c r="G164" s="158">
        <f t="shared" si="18"/>
        <v>0</v>
      </c>
    </row>
    <row r="165" spans="1:7" ht="12.75" hidden="1">
      <c r="A165" s="29">
        <f t="shared" si="19"/>
        <v>145</v>
      </c>
      <c r="B165" s="173">
        <f t="shared" si="20"/>
        <v>0</v>
      </c>
      <c r="C165" s="173">
        <f t="shared" si="14"/>
        <v>0</v>
      </c>
      <c r="D165" s="173">
        <f t="shared" si="15"/>
        <v>0</v>
      </c>
      <c r="E165" s="174">
        <f t="shared" si="16"/>
        <v>0</v>
      </c>
      <c r="F165" s="173">
        <f t="shared" si="17"/>
        <v>0</v>
      </c>
      <c r="G165" s="158">
        <f t="shared" si="18"/>
        <v>0</v>
      </c>
    </row>
    <row r="166" spans="1:7" ht="12.75" hidden="1">
      <c r="A166" s="29">
        <f t="shared" si="19"/>
        <v>146</v>
      </c>
      <c r="B166" s="173">
        <f t="shared" si="20"/>
        <v>0</v>
      </c>
      <c r="C166" s="173">
        <f t="shared" si="14"/>
        <v>0</v>
      </c>
      <c r="D166" s="173">
        <f t="shared" si="15"/>
        <v>0</v>
      </c>
      <c r="E166" s="174">
        <f t="shared" si="16"/>
        <v>0</v>
      </c>
      <c r="F166" s="173">
        <f t="shared" si="17"/>
        <v>0</v>
      </c>
      <c r="G166" s="158">
        <f t="shared" si="18"/>
        <v>0</v>
      </c>
    </row>
    <row r="167" spans="1:7" ht="12.75" hidden="1">
      <c r="A167" s="29">
        <f t="shared" si="19"/>
        <v>147</v>
      </c>
      <c r="B167" s="173">
        <f t="shared" si="20"/>
        <v>0</v>
      </c>
      <c r="C167" s="173">
        <f t="shared" si="14"/>
        <v>0</v>
      </c>
      <c r="D167" s="173">
        <f t="shared" si="15"/>
        <v>0</v>
      </c>
      <c r="E167" s="174">
        <f t="shared" si="16"/>
        <v>0</v>
      </c>
      <c r="F167" s="173">
        <f t="shared" si="17"/>
        <v>0</v>
      </c>
      <c r="G167" s="158">
        <f t="shared" si="18"/>
        <v>0</v>
      </c>
    </row>
    <row r="168" spans="1:7" ht="12.75" hidden="1">
      <c r="A168" s="29">
        <f t="shared" si="19"/>
        <v>148</v>
      </c>
      <c r="B168" s="173">
        <f t="shared" si="20"/>
        <v>0</v>
      </c>
      <c r="C168" s="173">
        <f t="shared" si="14"/>
        <v>0</v>
      </c>
      <c r="D168" s="173">
        <f t="shared" si="15"/>
        <v>0</v>
      </c>
      <c r="E168" s="174">
        <f t="shared" si="16"/>
        <v>0</v>
      </c>
      <c r="F168" s="173">
        <f t="shared" si="17"/>
        <v>0</v>
      </c>
      <c r="G168" s="158">
        <f t="shared" si="18"/>
        <v>0</v>
      </c>
    </row>
    <row r="169" spans="1:7" ht="12.75" hidden="1">
      <c r="A169" s="29">
        <f t="shared" si="19"/>
        <v>149</v>
      </c>
      <c r="B169" s="173">
        <f t="shared" si="20"/>
        <v>0</v>
      </c>
      <c r="C169" s="173">
        <f t="shared" si="14"/>
        <v>0</v>
      </c>
      <c r="D169" s="173">
        <f t="shared" si="15"/>
        <v>0</v>
      </c>
      <c r="E169" s="174">
        <f t="shared" si="16"/>
        <v>0</v>
      </c>
      <c r="F169" s="173">
        <f t="shared" si="17"/>
        <v>0</v>
      </c>
      <c r="G169" s="158">
        <f t="shared" si="18"/>
        <v>0</v>
      </c>
    </row>
    <row r="170" spans="1:7" ht="12.75" hidden="1">
      <c r="A170" s="29">
        <f t="shared" si="19"/>
        <v>150</v>
      </c>
      <c r="B170" s="173">
        <f t="shared" si="20"/>
        <v>0</v>
      </c>
      <c r="C170" s="173">
        <f t="shared" si="14"/>
        <v>0</v>
      </c>
      <c r="D170" s="173">
        <f t="shared" si="15"/>
        <v>0</v>
      </c>
      <c r="E170" s="174">
        <f t="shared" si="16"/>
        <v>0</v>
      </c>
      <c r="F170" s="173">
        <f t="shared" si="17"/>
        <v>0</v>
      </c>
      <c r="G170" s="158">
        <f t="shared" si="18"/>
        <v>0</v>
      </c>
    </row>
    <row r="171" spans="1:7" ht="12.75" hidden="1">
      <c r="A171" s="29">
        <f t="shared" si="19"/>
        <v>151</v>
      </c>
      <c r="B171" s="173">
        <f t="shared" si="20"/>
        <v>0</v>
      </c>
      <c r="C171" s="173">
        <f t="shared" si="14"/>
        <v>0</v>
      </c>
      <c r="D171" s="173">
        <f t="shared" si="15"/>
        <v>0</v>
      </c>
      <c r="E171" s="174">
        <f t="shared" si="16"/>
        <v>0</v>
      </c>
      <c r="F171" s="173">
        <f t="shared" si="17"/>
        <v>0</v>
      </c>
      <c r="G171" s="158">
        <f t="shared" si="18"/>
        <v>0</v>
      </c>
    </row>
    <row r="172" spans="1:7" ht="12.75" hidden="1">
      <c r="A172" s="29">
        <f t="shared" si="19"/>
        <v>152</v>
      </c>
      <c r="B172" s="173">
        <f t="shared" si="20"/>
        <v>0</v>
      </c>
      <c r="C172" s="173">
        <f t="shared" si="14"/>
        <v>0</v>
      </c>
      <c r="D172" s="173">
        <f t="shared" si="15"/>
        <v>0</v>
      </c>
      <c r="E172" s="174">
        <f t="shared" si="16"/>
        <v>0</v>
      </c>
      <c r="F172" s="173">
        <f t="shared" si="17"/>
        <v>0</v>
      </c>
      <c r="G172" s="158">
        <f t="shared" si="18"/>
        <v>0</v>
      </c>
    </row>
    <row r="173" spans="1:7" ht="12.75" hidden="1">
      <c r="A173" s="29">
        <f t="shared" si="19"/>
        <v>153</v>
      </c>
      <c r="B173" s="173">
        <f t="shared" si="20"/>
        <v>0</v>
      </c>
      <c r="C173" s="173">
        <f t="shared" si="14"/>
        <v>0</v>
      </c>
      <c r="D173" s="173">
        <f t="shared" si="15"/>
        <v>0</v>
      </c>
      <c r="E173" s="174">
        <f t="shared" si="16"/>
        <v>0</v>
      </c>
      <c r="F173" s="173">
        <f t="shared" si="17"/>
        <v>0</v>
      </c>
      <c r="G173" s="158">
        <f t="shared" si="18"/>
        <v>0</v>
      </c>
    </row>
    <row r="174" spans="1:7" ht="12.75" hidden="1">
      <c r="A174" s="29">
        <f t="shared" si="19"/>
        <v>154</v>
      </c>
      <c r="B174" s="173">
        <f t="shared" si="20"/>
        <v>0</v>
      </c>
      <c r="C174" s="173">
        <f t="shared" si="14"/>
        <v>0</v>
      </c>
      <c r="D174" s="173">
        <f t="shared" si="15"/>
        <v>0</v>
      </c>
      <c r="E174" s="174">
        <f t="shared" si="16"/>
        <v>0</v>
      </c>
      <c r="F174" s="173">
        <f t="shared" si="17"/>
        <v>0</v>
      </c>
      <c r="G174" s="158">
        <f t="shared" si="18"/>
        <v>0</v>
      </c>
    </row>
    <row r="175" spans="1:7" ht="12.75" hidden="1">
      <c r="A175" s="29">
        <f t="shared" si="19"/>
        <v>155</v>
      </c>
      <c r="B175" s="173">
        <f t="shared" si="20"/>
        <v>0</v>
      </c>
      <c r="C175" s="173">
        <f t="shared" si="14"/>
        <v>0</v>
      </c>
      <c r="D175" s="173">
        <f t="shared" si="15"/>
        <v>0</v>
      </c>
      <c r="E175" s="174">
        <f t="shared" si="16"/>
        <v>0</v>
      </c>
      <c r="F175" s="173">
        <f t="shared" si="17"/>
        <v>0</v>
      </c>
      <c r="G175" s="158">
        <f t="shared" si="18"/>
        <v>0</v>
      </c>
    </row>
    <row r="176" spans="1:7" ht="12.75" hidden="1">
      <c r="A176" s="29">
        <f t="shared" si="19"/>
        <v>156</v>
      </c>
      <c r="B176" s="173">
        <f t="shared" si="20"/>
        <v>0</v>
      </c>
      <c r="C176" s="173">
        <f t="shared" si="14"/>
        <v>0</v>
      </c>
      <c r="D176" s="173">
        <f t="shared" si="15"/>
        <v>0</v>
      </c>
      <c r="E176" s="174">
        <f t="shared" si="16"/>
        <v>0</v>
      </c>
      <c r="F176" s="173">
        <f t="shared" si="17"/>
        <v>0</v>
      </c>
      <c r="G176" s="158">
        <f t="shared" si="18"/>
        <v>0</v>
      </c>
    </row>
    <row r="177" spans="1:7" ht="12.75" hidden="1">
      <c r="A177" s="29">
        <f t="shared" si="19"/>
        <v>157</v>
      </c>
      <c r="B177" s="173">
        <f t="shared" si="20"/>
        <v>0</v>
      </c>
      <c r="C177" s="173">
        <f t="shared" si="14"/>
        <v>0</v>
      </c>
      <c r="D177" s="173">
        <f t="shared" si="15"/>
        <v>0</v>
      </c>
      <c r="E177" s="174">
        <f t="shared" si="16"/>
        <v>0</v>
      </c>
      <c r="F177" s="173">
        <f t="shared" si="17"/>
        <v>0</v>
      </c>
      <c r="G177" s="158">
        <f t="shared" si="18"/>
        <v>0</v>
      </c>
    </row>
    <row r="178" spans="1:7" ht="12.75" hidden="1">
      <c r="A178" s="29">
        <f t="shared" si="19"/>
        <v>158</v>
      </c>
      <c r="B178" s="173">
        <f t="shared" si="20"/>
        <v>0</v>
      </c>
      <c r="C178" s="173">
        <f t="shared" si="14"/>
        <v>0</v>
      </c>
      <c r="D178" s="173">
        <f t="shared" si="15"/>
        <v>0</v>
      </c>
      <c r="E178" s="174">
        <f t="shared" si="16"/>
        <v>0</v>
      </c>
      <c r="F178" s="173">
        <f t="shared" si="17"/>
        <v>0</v>
      </c>
      <c r="G178" s="158">
        <f t="shared" si="18"/>
        <v>0</v>
      </c>
    </row>
    <row r="179" spans="1:7" ht="12.75" hidden="1">
      <c r="A179" s="29">
        <f t="shared" si="19"/>
        <v>159</v>
      </c>
      <c r="B179" s="173">
        <f t="shared" si="20"/>
        <v>0</v>
      </c>
      <c r="C179" s="173">
        <f t="shared" si="14"/>
        <v>0</v>
      </c>
      <c r="D179" s="173">
        <f t="shared" si="15"/>
        <v>0</v>
      </c>
      <c r="E179" s="174">
        <f t="shared" si="16"/>
        <v>0</v>
      </c>
      <c r="F179" s="173">
        <f t="shared" si="17"/>
        <v>0</v>
      </c>
      <c r="G179" s="158">
        <f t="shared" si="18"/>
        <v>0</v>
      </c>
    </row>
    <row r="180" spans="1:7" ht="12.75" hidden="1">
      <c r="A180" s="29">
        <f t="shared" si="19"/>
        <v>160</v>
      </c>
      <c r="B180" s="173">
        <f t="shared" si="20"/>
        <v>0</v>
      </c>
      <c r="C180" s="173">
        <f t="shared" si="14"/>
        <v>0</v>
      </c>
      <c r="D180" s="173">
        <f t="shared" si="15"/>
        <v>0</v>
      </c>
      <c r="E180" s="174">
        <f t="shared" si="16"/>
        <v>0</v>
      </c>
      <c r="F180" s="173">
        <f t="shared" si="17"/>
        <v>0</v>
      </c>
      <c r="G180" s="158">
        <f t="shared" si="18"/>
        <v>0</v>
      </c>
    </row>
    <row r="181" spans="1:7" ht="12.75" hidden="1">
      <c r="A181" s="29">
        <f t="shared" si="19"/>
        <v>161</v>
      </c>
      <c r="B181" s="173">
        <f t="shared" si="20"/>
        <v>0</v>
      </c>
      <c r="C181" s="173">
        <f t="shared" si="14"/>
        <v>0</v>
      </c>
      <c r="D181" s="173">
        <f t="shared" si="15"/>
        <v>0</v>
      </c>
      <c r="E181" s="174">
        <f t="shared" si="16"/>
        <v>0</v>
      </c>
      <c r="F181" s="173">
        <f t="shared" si="17"/>
        <v>0</v>
      </c>
      <c r="G181" s="158">
        <f t="shared" si="18"/>
        <v>0</v>
      </c>
    </row>
    <row r="182" spans="1:7" ht="12.75" hidden="1">
      <c r="A182" s="29">
        <f t="shared" si="19"/>
        <v>162</v>
      </c>
      <c r="B182" s="173">
        <f t="shared" si="20"/>
        <v>0</v>
      </c>
      <c r="C182" s="173">
        <f t="shared" si="14"/>
        <v>0</v>
      </c>
      <c r="D182" s="173">
        <f t="shared" si="15"/>
        <v>0</v>
      </c>
      <c r="E182" s="174">
        <f t="shared" si="16"/>
        <v>0</v>
      </c>
      <c r="F182" s="173">
        <f t="shared" si="17"/>
        <v>0</v>
      </c>
      <c r="G182" s="158">
        <f t="shared" si="18"/>
        <v>0</v>
      </c>
    </row>
    <row r="183" spans="1:7" ht="12.75" hidden="1">
      <c r="A183" s="29">
        <f t="shared" si="19"/>
        <v>163</v>
      </c>
      <c r="B183" s="173">
        <f t="shared" si="20"/>
        <v>0</v>
      </c>
      <c r="C183" s="173">
        <f t="shared" si="14"/>
        <v>0</v>
      </c>
      <c r="D183" s="173">
        <f t="shared" si="15"/>
        <v>0</v>
      </c>
      <c r="E183" s="174">
        <f t="shared" si="16"/>
        <v>0</v>
      </c>
      <c r="F183" s="173">
        <f t="shared" si="17"/>
        <v>0</v>
      </c>
      <c r="G183" s="158">
        <f t="shared" si="18"/>
        <v>0</v>
      </c>
    </row>
    <row r="184" spans="1:7" ht="12.75" hidden="1">
      <c r="A184" s="29">
        <f t="shared" si="19"/>
        <v>164</v>
      </c>
      <c r="B184" s="173">
        <f t="shared" si="20"/>
        <v>0</v>
      </c>
      <c r="C184" s="173">
        <f t="shared" si="14"/>
        <v>0</v>
      </c>
      <c r="D184" s="173">
        <f t="shared" si="15"/>
        <v>0</v>
      </c>
      <c r="E184" s="174">
        <f t="shared" si="16"/>
        <v>0</v>
      </c>
      <c r="F184" s="173">
        <f t="shared" si="17"/>
        <v>0</v>
      </c>
      <c r="G184" s="158">
        <f t="shared" si="18"/>
        <v>0</v>
      </c>
    </row>
    <row r="185" spans="1:7" ht="12.75" hidden="1">
      <c r="A185" s="29">
        <f t="shared" si="19"/>
        <v>165</v>
      </c>
      <c r="B185" s="173">
        <f t="shared" si="20"/>
        <v>0</v>
      </c>
      <c r="C185" s="173">
        <f t="shared" si="14"/>
        <v>0</v>
      </c>
      <c r="D185" s="173">
        <f t="shared" si="15"/>
        <v>0</v>
      </c>
      <c r="E185" s="174">
        <f t="shared" si="16"/>
        <v>0</v>
      </c>
      <c r="F185" s="173">
        <f t="shared" si="17"/>
        <v>0</v>
      </c>
      <c r="G185" s="158">
        <f t="shared" si="18"/>
        <v>0</v>
      </c>
    </row>
    <row r="186" spans="1:7" ht="12.75" hidden="1">
      <c r="A186" s="29">
        <f t="shared" si="19"/>
        <v>166</v>
      </c>
      <c r="B186" s="173">
        <f t="shared" si="20"/>
        <v>0</v>
      </c>
      <c r="C186" s="173">
        <f t="shared" si="14"/>
        <v>0</v>
      </c>
      <c r="D186" s="173">
        <f t="shared" si="15"/>
        <v>0</v>
      </c>
      <c r="E186" s="174">
        <f t="shared" si="16"/>
        <v>0</v>
      </c>
      <c r="F186" s="173">
        <f t="shared" si="17"/>
        <v>0</v>
      </c>
      <c r="G186" s="158">
        <f t="shared" si="18"/>
        <v>0</v>
      </c>
    </row>
    <row r="187" spans="1:7" ht="12.75" hidden="1">
      <c r="A187" s="29">
        <f t="shared" si="19"/>
        <v>167</v>
      </c>
      <c r="B187" s="173">
        <f t="shared" si="20"/>
        <v>0</v>
      </c>
      <c r="C187" s="173">
        <f t="shared" si="14"/>
        <v>0</v>
      </c>
      <c r="D187" s="173">
        <f t="shared" si="15"/>
        <v>0</v>
      </c>
      <c r="E187" s="174">
        <f t="shared" si="16"/>
        <v>0</v>
      </c>
      <c r="F187" s="173">
        <f t="shared" si="17"/>
        <v>0</v>
      </c>
      <c r="G187" s="158">
        <f t="shared" si="18"/>
        <v>0</v>
      </c>
    </row>
    <row r="188" spans="1:7" ht="12.75" hidden="1">
      <c r="A188" s="29">
        <f t="shared" si="19"/>
        <v>168</v>
      </c>
      <c r="B188" s="173">
        <f t="shared" si="20"/>
        <v>0</v>
      </c>
      <c r="C188" s="173">
        <f t="shared" si="14"/>
        <v>0</v>
      </c>
      <c r="D188" s="173">
        <f t="shared" si="15"/>
        <v>0</v>
      </c>
      <c r="E188" s="174">
        <f t="shared" si="16"/>
        <v>0</v>
      </c>
      <c r="F188" s="173">
        <f t="shared" si="17"/>
        <v>0</v>
      </c>
      <c r="G188" s="158">
        <f t="shared" si="18"/>
        <v>0</v>
      </c>
    </row>
    <row r="189" spans="1:7" ht="12.75" hidden="1">
      <c r="A189" s="29">
        <f t="shared" si="19"/>
        <v>169</v>
      </c>
      <c r="B189" s="173">
        <f t="shared" si="20"/>
        <v>0</v>
      </c>
      <c r="C189" s="173">
        <f t="shared" si="14"/>
        <v>0</v>
      </c>
      <c r="D189" s="173">
        <f t="shared" si="15"/>
        <v>0</v>
      </c>
      <c r="E189" s="174">
        <f t="shared" si="16"/>
        <v>0</v>
      </c>
      <c r="F189" s="173">
        <f t="shared" si="17"/>
        <v>0</v>
      </c>
      <c r="G189" s="158">
        <f t="shared" si="18"/>
        <v>0</v>
      </c>
    </row>
    <row r="190" spans="1:7" ht="12.75" hidden="1">
      <c r="A190" s="29">
        <f t="shared" si="19"/>
        <v>170</v>
      </c>
      <c r="B190" s="173">
        <f t="shared" si="20"/>
        <v>0</v>
      </c>
      <c r="C190" s="173">
        <f t="shared" si="14"/>
        <v>0</v>
      </c>
      <c r="D190" s="173">
        <f t="shared" si="15"/>
        <v>0</v>
      </c>
      <c r="E190" s="174">
        <f t="shared" si="16"/>
        <v>0</v>
      </c>
      <c r="F190" s="173">
        <f t="shared" si="17"/>
        <v>0</v>
      </c>
      <c r="G190" s="158">
        <f t="shared" si="18"/>
        <v>0</v>
      </c>
    </row>
    <row r="191" spans="1:7" ht="12.75" hidden="1">
      <c r="A191" s="29">
        <f t="shared" si="19"/>
        <v>171</v>
      </c>
      <c r="B191" s="173">
        <f t="shared" si="20"/>
        <v>0</v>
      </c>
      <c r="C191" s="173">
        <f t="shared" si="14"/>
        <v>0</v>
      </c>
      <c r="D191" s="173">
        <f t="shared" si="15"/>
        <v>0</v>
      </c>
      <c r="E191" s="174">
        <f t="shared" si="16"/>
        <v>0</v>
      </c>
      <c r="F191" s="173">
        <f t="shared" si="17"/>
        <v>0</v>
      </c>
      <c r="G191" s="158">
        <f t="shared" si="18"/>
        <v>0</v>
      </c>
    </row>
    <row r="192" spans="1:7" ht="12.75" hidden="1">
      <c r="A192" s="29">
        <f t="shared" si="19"/>
        <v>172</v>
      </c>
      <c r="B192" s="173">
        <f t="shared" si="20"/>
        <v>0</v>
      </c>
      <c r="C192" s="173">
        <f t="shared" si="14"/>
        <v>0</v>
      </c>
      <c r="D192" s="173">
        <f t="shared" si="15"/>
        <v>0</v>
      </c>
      <c r="E192" s="174">
        <f t="shared" si="16"/>
        <v>0</v>
      </c>
      <c r="F192" s="173">
        <f t="shared" si="17"/>
        <v>0</v>
      </c>
      <c r="G192" s="158">
        <f t="shared" si="18"/>
        <v>0</v>
      </c>
    </row>
    <row r="193" spans="1:7" ht="12.75" hidden="1">
      <c r="A193" s="29">
        <f t="shared" si="19"/>
        <v>173</v>
      </c>
      <c r="B193" s="173">
        <f t="shared" si="20"/>
        <v>0</v>
      </c>
      <c r="C193" s="173">
        <f t="shared" si="14"/>
        <v>0</v>
      </c>
      <c r="D193" s="173">
        <f t="shared" si="15"/>
        <v>0</v>
      </c>
      <c r="E193" s="174">
        <f t="shared" si="16"/>
        <v>0</v>
      </c>
      <c r="F193" s="173">
        <f t="shared" si="17"/>
        <v>0</v>
      </c>
      <c r="G193" s="158">
        <f t="shared" si="18"/>
        <v>0</v>
      </c>
    </row>
    <row r="194" spans="1:7" ht="12.75" hidden="1">
      <c r="A194" s="29">
        <f t="shared" si="19"/>
        <v>174</v>
      </c>
      <c r="B194" s="173">
        <f t="shared" si="20"/>
        <v>0</v>
      </c>
      <c r="C194" s="173">
        <f t="shared" si="14"/>
        <v>0</v>
      </c>
      <c r="D194" s="173">
        <f t="shared" si="15"/>
        <v>0</v>
      </c>
      <c r="E194" s="174">
        <f t="shared" si="16"/>
        <v>0</v>
      </c>
      <c r="F194" s="173">
        <f t="shared" si="17"/>
        <v>0</v>
      </c>
      <c r="G194" s="158">
        <f t="shared" si="18"/>
        <v>0</v>
      </c>
    </row>
    <row r="195" spans="1:7" ht="12.75" hidden="1">
      <c r="A195" s="29">
        <f t="shared" si="19"/>
        <v>175</v>
      </c>
      <c r="B195" s="173">
        <f t="shared" si="20"/>
        <v>0</v>
      </c>
      <c r="C195" s="173">
        <f t="shared" si="14"/>
        <v>0</v>
      </c>
      <c r="D195" s="173">
        <f t="shared" si="15"/>
        <v>0</v>
      </c>
      <c r="E195" s="174">
        <f t="shared" si="16"/>
        <v>0</v>
      </c>
      <c r="F195" s="173">
        <f t="shared" si="17"/>
        <v>0</v>
      </c>
      <c r="G195" s="158">
        <f t="shared" si="18"/>
        <v>0</v>
      </c>
    </row>
    <row r="196" spans="1:7" ht="12.75" hidden="1">
      <c r="A196" s="29">
        <f t="shared" si="19"/>
        <v>176</v>
      </c>
      <c r="B196" s="173">
        <f t="shared" si="20"/>
        <v>0</v>
      </c>
      <c r="C196" s="173">
        <f t="shared" si="14"/>
        <v>0</v>
      </c>
      <c r="D196" s="173">
        <f t="shared" si="15"/>
        <v>0</v>
      </c>
      <c r="E196" s="174">
        <f t="shared" si="16"/>
        <v>0</v>
      </c>
      <c r="F196" s="173">
        <f t="shared" si="17"/>
        <v>0</v>
      </c>
      <c r="G196" s="158">
        <f t="shared" si="18"/>
        <v>0</v>
      </c>
    </row>
    <row r="197" spans="1:7" ht="12.75" hidden="1">
      <c r="A197" s="29">
        <f t="shared" si="19"/>
        <v>177</v>
      </c>
      <c r="B197" s="173">
        <f t="shared" si="20"/>
        <v>0</v>
      </c>
      <c r="C197" s="173">
        <f t="shared" si="14"/>
        <v>0</v>
      </c>
      <c r="D197" s="173">
        <f t="shared" si="15"/>
        <v>0</v>
      </c>
      <c r="E197" s="174">
        <f t="shared" si="16"/>
        <v>0</v>
      </c>
      <c r="F197" s="173">
        <f t="shared" si="17"/>
        <v>0</v>
      </c>
      <c r="G197" s="158">
        <f t="shared" si="18"/>
        <v>0</v>
      </c>
    </row>
    <row r="198" spans="1:7" ht="12.75" hidden="1">
      <c r="A198" s="29">
        <f t="shared" si="19"/>
        <v>178</v>
      </c>
      <c r="B198" s="173">
        <f t="shared" si="20"/>
        <v>0</v>
      </c>
      <c r="C198" s="173">
        <f t="shared" si="14"/>
        <v>0</v>
      </c>
      <c r="D198" s="173">
        <f t="shared" si="15"/>
        <v>0</v>
      </c>
      <c r="E198" s="174">
        <f t="shared" si="16"/>
        <v>0</v>
      </c>
      <c r="F198" s="173">
        <f t="shared" si="17"/>
        <v>0</v>
      </c>
      <c r="G198" s="158">
        <f t="shared" si="18"/>
        <v>0</v>
      </c>
    </row>
    <row r="199" spans="1:7" ht="12.75" hidden="1">
      <c r="A199" s="29">
        <f t="shared" si="19"/>
        <v>179</v>
      </c>
      <c r="B199" s="173">
        <f t="shared" si="20"/>
        <v>0</v>
      </c>
      <c r="C199" s="173">
        <f t="shared" si="14"/>
        <v>0</v>
      </c>
      <c r="D199" s="173">
        <f t="shared" si="15"/>
        <v>0</v>
      </c>
      <c r="E199" s="174">
        <f t="shared" si="16"/>
        <v>0</v>
      </c>
      <c r="F199" s="173">
        <f t="shared" si="17"/>
        <v>0</v>
      </c>
      <c r="G199" s="158">
        <f t="shared" si="18"/>
        <v>0</v>
      </c>
    </row>
    <row r="200" spans="1:7" ht="12.75" hidden="1">
      <c r="A200" s="29">
        <f t="shared" si="19"/>
        <v>180</v>
      </c>
      <c r="B200" s="173">
        <f t="shared" si="20"/>
        <v>0</v>
      </c>
      <c r="C200" s="173">
        <f t="shared" si="14"/>
        <v>0</v>
      </c>
      <c r="D200" s="173">
        <f t="shared" si="15"/>
        <v>0</v>
      </c>
      <c r="E200" s="174">
        <f t="shared" si="16"/>
        <v>0</v>
      </c>
      <c r="F200" s="173">
        <f t="shared" si="17"/>
        <v>0</v>
      </c>
      <c r="G200" s="158">
        <f t="shared" si="18"/>
        <v>0</v>
      </c>
    </row>
    <row r="201" spans="1:7" ht="12.75" hidden="1">
      <c r="A201" s="29">
        <f t="shared" si="19"/>
        <v>181</v>
      </c>
      <c r="B201" s="173">
        <f t="shared" si="20"/>
        <v>0</v>
      </c>
      <c r="C201" s="173">
        <f t="shared" si="14"/>
        <v>0</v>
      </c>
      <c r="D201" s="173">
        <f t="shared" si="15"/>
        <v>0</v>
      </c>
      <c r="E201" s="174">
        <f t="shared" si="16"/>
        <v>0</v>
      </c>
      <c r="F201" s="173">
        <f t="shared" si="17"/>
        <v>0</v>
      </c>
      <c r="G201" s="158">
        <f t="shared" si="18"/>
        <v>0</v>
      </c>
    </row>
    <row r="202" spans="1:7" ht="12.75" hidden="1">
      <c r="A202" s="29">
        <f t="shared" si="19"/>
        <v>182</v>
      </c>
      <c r="B202" s="173">
        <f t="shared" si="20"/>
        <v>0</v>
      </c>
      <c r="C202" s="173">
        <f t="shared" si="14"/>
        <v>0</v>
      </c>
      <c r="D202" s="173">
        <f t="shared" si="15"/>
        <v>0</v>
      </c>
      <c r="E202" s="174">
        <f t="shared" si="16"/>
        <v>0</v>
      </c>
      <c r="F202" s="173">
        <f t="shared" si="17"/>
        <v>0</v>
      </c>
      <c r="G202" s="158">
        <f t="shared" si="18"/>
        <v>0</v>
      </c>
    </row>
    <row r="203" spans="1:7" ht="12.75" hidden="1">
      <c r="A203" s="29">
        <f t="shared" si="19"/>
        <v>183</v>
      </c>
      <c r="B203" s="173">
        <f t="shared" si="20"/>
        <v>0</v>
      </c>
      <c r="C203" s="173">
        <f t="shared" si="14"/>
        <v>0</v>
      </c>
      <c r="D203" s="173">
        <f t="shared" si="15"/>
        <v>0</v>
      </c>
      <c r="E203" s="174">
        <f t="shared" si="16"/>
        <v>0</v>
      </c>
      <c r="F203" s="173">
        <f t="shared" si="17"/>
        <v>0</v>
      </c>
      <c r="G203" s="158">
        <f t="shared" si="18"/>
        <v>0</v>
      </c>
    </row>
    <row r="204" spans="1:7" ht="12.75" hidden="1">
      <c r="A204" s="29">
        <f t="shared" si="19"/>
        <v>184</v>
      </c>
      <c r="B204" s="173">
        <f t="shared" si="20"/>
        <v>0</v>
      </c>
      <c r="C204" s="173">
        <f t="shared" si="14"/>
        <v>0</v>
      </c>
      <c r="D204" s="173">
        <f t="shared" si="15"/>
        <v>0</v>
      </c>
      <c r="E204" s="174">
        <f t="shared" si="16"/>
        <v>0</v>
      </c>
      <c r="F204" s="173">
        <f t="shared" si="17"/>
        <v>0</v>
      </c>
      <c r="G204" s="158">
        <f t="shared" si="18"/>
        <v>0</v>
      </c>
    </row>
    <row r="205" spans="1:7" ht="12.75" hidden="1">
      <c r="A205" s="29">
        <f t="shared" si="19"/>
        <v>185</v>
      </c>
      <c r="B205" s="173">
        <f t="shared" si="20"/>
        <v>0</v>
      </c>
      <c r="C205" s="173">
        <f t="shared" si="14"/>
        <v>0</v>
      </c>
      <c r="D205" s="173">
        <f t="shared" si="15"/>
        <v>0</v>
      </c>
      <c r="E205" s="174">
        <f t="shared" si="16"/>
        <v>0</v>
      </c>
      <c r="F205" s="173">
        <f t="shared" si="17"/>
        <v>0</v>
      </c>
      <c r="G205" s="158">
        <f t="shared" si="18"/>
        <v>0</v>
      </c>
    </row>
    <row r="206" spans="1:7" ht="12.75" hidden="1">
      <c r="A206" s="29">
        <f t="shared" si="19"/>
        <v>186</v>
      </c>
      <c r="B206" s="173">
        <f t="shared" si="20"/>
        <v>0</v>
      </c>
      <c r="C206" s="173">
        <f t="shared" si="14"/>
        <v>0</v>
      </c>
      <c r="D206" s="173">
        <f t="shared" si="15"/>
        <v>0</v>
      </c>
      <c r="E206" s="174">
        <f t="shared" si="16"/>
        <v>0</v>
      </c>
      <c r="F206" s="173">
        <f t="shared" si="17"/>
        <v>0</v>
      </c>
      <c r="G206" s="158">
        <f t="shared" si="18"/>
        <v>0</v>
      </c>
    </row>
    <row r="207" spans="1:7" ht="12.75" hidden="1">
      <c r="A207" s="29">
        <f t="shared" si="19"/>
        <v>187</v>
      </c>
      <c r="B207" s="173">
        <f t="shared" si="20"/>
        <v>0</v>
      </c>
      <c r="C207" s="173">
        <f t="shared" si="14"/>
        <v>0</v>
      </c>
      <c r="D207" s="173">
        <f t="shared" si="15"/>
        <v>0</v>
      </c>
      <c r="E207" s="174">
        <f t="shared" si="16"/>
        <v>0</v>
      </c>
      <c r="F207" s="173">
        <f t="shared" si="17"/>
        <v>0</v>
      </c>
      <c r="G207" s="158">
        <f t="shared" si="18"/>
        <v>0</v>
      </c>
    </row>
    <row r="208" spans="1:7" ht="12.75" hidden="1">
      <c r="A208" s="29">
        <f t="shared" si="19"/>
        <v>188</v>
      </c>
      <c r="B208" s="173">
        <f t="shared" si="20"/>
        <v>0</v>
      </c>
      <c r="C208" s="173">
        <f t="shared" si="14"/>
        <v>0</v>
      </c>
      <c r="D208" s="173">
        <f t="shared" si="15"/>
        <v>0</v>
      </c>
      <c r="E208" s="174">
        <f t="shared" si="16"/>
        <v>0</v>
      </c>
      <c r="F208" s="173">
        <f t="shared" si="17"/>
        <v>0</v>
      </c>
      <c r="G208" s="158">
        <f t="shared" si="18"/>
        <v>0</v>
      </c>
    </row>
    <row r="209" spans="1:7" ht="12.75" hidden="1">
      <c r="A209" s="29">
        <f t="shared" si="19"/>
        <v>189</v>
      </c>
      <c r="B209" s="173">
        <f t="shared" si="20"/>
        <v>0</v>
      </c>
      <c r="C209" s="173">
        <f t="shared" si="14"/>
        <v>0</v>
      </c>
      <c r="D209" s="173">
        <f t="shared" si="15"/>
        <v>0</v>
      </c>
      <c r="E209" s="174">
        <f t="shared" si="16"/>
        <v>0</v>
      </c>
      <c r="F209" s="173">
        <f t="shared" si="17"/>
        <v>0</v>
      </c>
      <c r="G209" s="158">
        <f t="shared" si="18"/>
        <v>0</v>
      </c>
    </row>
    <row r="210" spans="1:7" ht="12.75" hidden="1">
      <c r="A210" s="29">
        <f t="shared" si="19"/>
        <v>190</v>
      </c>
      <c r="B210" s="173">
        <f t="shared" si="20"/>
        <v>0</v>
      </c>
      <c r="C210" s="173">
        <f t="shared" si="14"/>
        <v>0</v>
      </c>
      <c r="D210" s="173">
        <f t="shared" si="15"/>
        <v>0</v>
      </c>
      <c r="E210" s="174">
        <f t="shared" si="16"/>
        <v>0</v>
      </c>
      <c r="F210" s="173">
        <f t="shared" si="17"/>
        <v>0</v>
      </c>
      <c r="G210" s="158">
        <f t="shared" si="18"/>
        <v>0</v>
      </c>
    </row>
    <row r="211" spans="1:7" ht="12.75" hidden="1">
      <c r="A211" s="29">
        <f t="shared" si="19"/>
        <v>191</v>
      </c>
      <c r="B211" s="173">
        <f t="shared" si="20"/>
        <v>0</v>
      </c>
      <c r="C211" s="173">
        <f t="shared" si="14"/>
        <v>0</v>
      </c>
      <c r="D211" s="173">
        <f t="shared" si="15"/>
        <v>0</v>
      </c>
      <c r="E211" s="174">
        <f t="shared" si="16"/>
        <v>0</v>
      </c>
      <c r="F211" s="173">
        <f t="shared" si="17"/>
        <v>0</v>
      </c>
      <c r="G211" s="158">
        <f t="shared" si="18"/>
        <v>0</v>
      </c>
    </row>
    <row r="212" spans="1:7" ht="12.75" hidden="1">
      <c r="A212" s="29">
        <f t="shared" si="19"/>
        <v>192</v>
      </c>
      <c r="B212" s="173">
        <f t="shared" si="20"/>
        <v>0</v>
      </c>
      <c r="C212" s="173">
        <f t="shared" si="14"/>
        <v>0</v>
      </c>
      <c r="D212" s="173">
        <f t="shared" si="15"/>
        <v>0</v>
      </c>
      <c r="E212" s="174">
        <f t="shared" si="16"/>
        <v>0</v>
      </c>
      <c r="F212" s="173">
        <f t="shared" si="17"/>
        <v>0</v>
      </c>
      <c r="G212" s="158">
        <f t="shared" si="18"/>
        <v>0</v>
      </c>
    </row>
    <row r="213" spans="1:7" ht="12.75" hidden="1">
      <c r="A213" s="29">
        <f t="shared" si="19"/>
        <v>193</v>
      </c>
      <c r="B213" s="173">
        <f t="shared" si="20"/>
        <v>0</v>
      </c>
      <c r="C213" s="173">
        <f aca="true" t="shared" si="21" ref="C213:C276">IF(A213&lt;=$D$9,$D$14*-1,0)</f>
        <v>0</v>
      </c>
      <c r="D213" s="173">
        <f aca="true" t="shared" si="22" ref="D213:D276">IF(A213&gt;$D$9,0,$D$11*-1)</f>
        <v>0</v>
      </c>
      <c r="E213" s="174">
        <f aca="true" t="shared" si="23" ref="E213:E276">B213*$D$10</f>
        <v>0</v>
      </c>
      <c r="F213" s="173">
        <f aca="true" t="shared" si="24" ref="F213:F276">D213-E213</f>
        <v>0</v>
      </c>
      <c r="G213" s="158">
        <f aca="true" t="shared" si="25" ref="G213:G276">B213-F213</f>
        <v>0</v>
      </c>
    </row>
    <row r="214" spans="1:7" ht="12.75" hidden="1">
      <c r="A214" s="29">
        <f aca="true" t="shared" si="26" ref="A214:A277">A213+1</f>
        <v>194</v>
      </c>
      <c r="B214" s="173">
        <f aca="true" t="shared" si="27" ref="B214:B277">IF(A214&lt;=$D$9,G213,0)</f>
        <v>0</v>
      </c>
      <c r="C214" s="173">
        <f t="shared" si="21"/>
        <v>0</v>
      </c>
      <c r="D214" s="173">
        <f t="shared" si="22"/>
        <v>0</v>
      </c>
      <c r="E214" s="174">
        <f t="shared" si="23"/>
        <v>0</v>
      </c>
      <c r="F214" s="173">
        <f t="shared" si="24"/>
        <v>0</v>
      </c>
      <c r="G214" s="158">
        <f t="shared" si="25"/>
        <v>0</v>
      </c>
    </row>
    <row r="215" spans="1:7" ht="12.75" hidden="1">
      <c r="A215" s="29">
        <f t="shared" si="26"/>
        <v>195</v>
      </c>
      <c r="B215" s="173">
        <f t="shared" si="27"/>
        <v>0</v>
      </c>
      <c r="C215" s="173">
        <f t="shared" si="21"/>
        <v>0</v>
      </c>
      <c r="D215" s="173">
        <f t="shared" si="22"/>
        <v>0</v>
      </c>
      <c r="E215" s="174">
        <f t="shared" si="23"/>
        <v>0</v>
      </c>
      <c r="F215" s="173">
        <f t="shared" si="24"/>
        <v>0</v>
      </c>
      <c r="G215" s="158">
        <f t="shared" si="25"/>
        <v>0</v>
      </c>
    </row>
    <row r="216" spans="1:7" ht="12.75" hidden="1">
      <c r="A216" s="29">
        <f t="shared" si="26"/>
        <v>196</v>
      </c>
      <c r="B216" s="173">
        <f t="shared" si="27"/>
        <v>0</v>
      </c>
      <c r="C216" s="173">
        <f t="shared" si="21"/>
        <v>0</v>
      </c>
      <c r="D216" s="173">
        <f t="shared" si="22"/>
        <v>0</v>
      </c>
      <c r="E216" s="174">
        <f t="shared" si="23"/>
        <v>0</v>
      </c>
      <c r="F216" s="173">
        <f t="shared" si="24"/>
        <v>0</v>
      </c>
      <c r="G216" s="158">
        <f t="shared" si="25"/>
        <v>0</v>
      </c>
    </row>
    <row r="217" spans="1:7" ht="12.75" hidden="1">
      <c r="A217" s="29">
        <f t="shared" si="26"/>
        <v>197</v>
      </c>
      <c r="B217" s="173">
        <f t="shared" si="27"/>
        <v>0</v>
      </c>
      <c r="C217" s="173">
        <f t="shared" si="21"/>
        <v>0</v>
      </c>
      <c r="D217" s="173">
        <f t="shared" si="22"/>
        <v>0</v>
      </c>
      <c r="E217" s="174">
        <f t="shared" si="23"/>
        <v>0</v>
      </c>
      <c r="F217" s="173">
        <f t="shared" si="24"/>
        <v>0</v>
      </c>
      <c r="G217" s="158">
        <f t="shared" si="25"/>
        <v>0</v>
      </c>
    </row>
    <row r="218" spans="1:7" ht="12.75" hidden="1">
      <c r="A218" s="29">
        <f t="shared" si="26"/>
        <v>198</v>
      </c>
      <c r="B218" s="173">
        <f t="shared" si="27"/>
        <v>0</v>
      </c>
      <c r="C218" s="173">
        <f t="shared" si="21"/>
        <v>0</v>
      </c>
      <c r="D218" s="173">
        <f t="shared" si="22"/>
        <v>0</v>
      </c>
      <c r="E218" s="174">
        <f t="shared" si="23"/>
        <v>0</v>
      </c>
      <c r="F218" s="173">
        <f t="shared" si="24"/>
        <v>0</v>
      </c>
      <c r="G218" s="158">
        <f t="shared" si="25"/>
        <v>0</v>
      </c>
    </row>
    <row r="219" spans="1:7" ht="12.75" hidden="1">
      <c r="A219" s="29">
        <f t="shared" si="26"/>
        <v>199</v>
      </c>
      <c r="B219" s="173">
        <f t="shared" si="27"/>
        <v>0</v>
      </c>
      <c r="C219" s="173">
        <f t="shared" si="21"/>
        <v>0</v>
      </c>
      <c r="D219" s="173">
        <f t="shared" si="22"/>
        <v>0</v>
      </c>
      <c r="E219" s="174">
        <f t="shared" si="23"/>
        <v>0</v>
      </c>
      <c r="F219" s="173">
        <f t="shared" si="24"/>
        <v>0</v>
      </c>
      <c r="G219" s="158">
        <f t="shared" si="25"/>
        <v>0</v>
      </c>
    </row>
    <row r="220" spans="1:7" ht="12.75" hidden="1">
      <c r="A220" s="29">
        <f t="shared" si="26"/>
        <v>200</v>
      </c>
      <c r="B220" s="173">
        <f t="shared" si="27"/>
        <v>0</v>
      </c>
      <c r="C220" s="173">
        <f t="shared" si="21"/>
        <v>0</v>
      </c>
      <c r="D220" s="173">
        <f t="shared" si="22"/>
        <v>0</v>
      </c>
      <c r="E220" s="174">
        <f t="shared" si="23"/>
        <v>0</v>
      </c>
      <c r="F220" s="173">
        <f t="shared" si="24"/>
        <v>0</v>
      </c>
      <c r="G220" s="158">
        <f t="shared" si="25"/>
        <v>0</v>
      </c>
    </row>
    <row r="221" spans="1:7" ht="12.75" hidden="1">
      <c r="A221" s="29">
        <f t="shared" si="26"/>
        <v>201</v>
      </c>
      <c r="B221" s="173">
        <f t="shared" si="27"/>
        <v>0</v>
      </c>
      <c r="C221" s="173">
        <f t="shared" si="21"/>
        <v>0</v>
      </c>
      <c r="D221" s="173">
        <f t="shared" si="22"/>
        <v>0</v>
      </c>
      <c r="E221" s="174">
        <f t="shared" si="23"/>
        <v>0</v>
      </c>
      <c r="F221" s="173">
        <f t="shared" si="24"/>
        <v>0</v>
      </c>
      <c r="G221" s="158">
        <f t="shared" si="25"/>
        <v>0</v>
      </c>
    </row>
    <row r="222" spans="1:7" ht="12.75" hidden="1">
      <c r="A222" s="29">
        <f t="shared" si="26"/>
        <v>202</v>
      </c>
      <c r="B222" s="173">
        <f t="shared" si="27"/>
        <v>0</v>
      </c>
      <c r="C222" s="173">
        <f t="shared" si="21"/>
        <v>0</v>
      </c>
      <c r="D222" s="173">
        <f t="shared" si="22"/>
        <v>0</v>
      </c>
      <c r="E222" s="174">
        <f t="shared" si="23"/>
        <v>0</v>
      </c>
      <c r="F222" s="173">
        <f t="shared" si="24"/>
        <v>0</v>
      </c>
      <c r="G222" s="158">
        <f t="shared" si="25"/>
        <v>0</v>
      </c>
    </row>
    <row r="223" spans="1:7" ht="12.75" hidden="1">
      <c r="A223" s="29">
        <f t="shared" si="26"/>
        <v>203</v>
      </c>
      <c r="B223" s="173">
        <f t="shared" si="27"/>
        <v>0</v>
      </c>
      <c r="C223" s="173">
        <f t="shared" si="21"/>
        <v>0</v>
      </c>
      <c r="D223" s="173">
        <f t="shared" si="22"/>
        <v>0</v>
      </c>
      <c r="E223" s="174">
        <f t="shared" si="23"/>
        <v>0</v>
      </c>
      <c r="F223" s="173">
        <f t="shared" si="24"/>
        <v>0</v>
      </c>
      <c r="G223" s="158">
        <f t="shared" si="25"/>
        <v>0</v>
      </c>
    </row>
    <row r="224" spans="1:7" ht="12.75" hidden="1">
      <c r="A224" s="29">
        <f t="shared" si="26"/>
        <v>204</v>
      </c>
      <c r="B224" s="173">
        <f t="shared" si="27"/>
        <v>0</v>
      </c>
      <c r="C224" s="173">
        <f t="shared" si="21"/>
        <v>0</v>
      </c>
      <c r="D224" s="173">
        <f t="shared" si="22"/>
        <v>0</v>
      </c>
      <c r="E224" s="174">
        <f t="shared" si="23"/>
        <v>0</v>
      </c>
      <c r="F224" s="173">
        <f t="shared" si="24"/>
        <v>0</v>
      </c>
      <c r="G224" s="158">
        <f t="shared" si="25"/>
        <v>0</v>
      </c>
    </row>
    <row r="225" spans="1:7" ht="12.75" hidden="1">
      <c r="A225" s="29">
        <f t="shared" si="26"/>
        <v>205</v>
      </c>
      <c r="B225" s="173">
        <f t="shared" si="27"/>
        <v>0</v>
      </c>
      <c r="C225" s="173">
        <f t="shared" si="21"/>
        <v>0</v>
      </c>
      <c r="D225" s="173">
        <f t="shared" si="22"/>
        <v>0</v>
      </c>
      <c r="E225" s="174">
        <f t="shared" si="23"/>
        <v>0</v>
      </c>
      <c r="F225" s="173">
        <f t="shared" si="24"/>
        <v>0</v>
      </c>
      <c r="G225" s="158">
        <f t="shared" si="25"/>
        <v>0</v>
      </c>
    </row>
    <row r="226" spans="1:7" ht="12.75" hidden="1">
      <c r="A226" s="29">
        <f t="shared" si="26"/>
        <v>206</v>
      </c>
      <c r="B226" s="173">
        <f t="shared" si="27"/>
        <v>0</v>
      </c>
      <c r="C226" s="173">
        <f t="shared" si="21"/>
        <v>0</v>
      </c>
      <c r="D226" s="173">
        <f t="shared" si="22"/>
        <v>0</v>
      </c>
      <c r="E226" s="174">
        <f t="shared" si="23"/>
        <v>0</v>
      </c>
      <c r="F226" s="173">
        <f t="shared" si="24"/>
        <v>0</v>
      </c>
      <c r="G226" s="158">
        <f t="shared" si="25"/>
        <v>0</v>
      </c>
    </row>
    <row r="227" spans="1:7" ht="12.75" hidden="1">
      <c r="A227" s="29">
        <f t="shared" si="26"/>
        <v>207</v>
      </c>
      <c r="B227" s="173">
        <f t="shared" si="27"/>
        <v>0</v>
      </c>
      <c r="C227" s="173">
        <f t="shared" si="21"/>
        <v>0</v>
      </c>
      <c r="D227" s="173">
        <f t="shared" si="22"/>
        <v>0</v>
      </c>
      <c r="E227" s="174">
        <f t="shared" si="23"/>
        <v>0</v>
      </c>
      <c r="F227" s="173">
        <f t="shared" si="24"/>
        <v>0</v>
      </c>
      <c r="G227" s="158">
        <f t="shared" si="25"/>
        <v>0</v>
      </c>
    </row>
    <row r="228" spans="1:7" ht="12.75" hidden="1">
      <c r="A228" s="29">
        <f t="shared" si="26"/>
        <v>208</v>
      </c>
      <c r="B228" s="173">
        <f t="shared" si="27"/>
        <v>0</v>
      </c>
      <c r="C228" s="173">
        <f t="shared" si="21"/>
        <v>0</v>
      </c>
      <c r="D228" s="173">
        <f t="shared" si="22"/>
        <v>0</v>
      </c>
      <c r="E228" s="174">
        <f t="shared" si="23"/>
        <v>0</v>
      </c>
      <c r="F228" s="173">
        <f t="shared" si="24"/>
        <v>0</v>
      </c>
      <c r="G228" s="158">
        <f t="shared" si="25"/>
        <v>0</v>
      </c>
    </row>
    <row r="229" spans="1:7" ht="12.75" hidden="1">
      <c r="A229" s="29">
        <f t="shared" si="26"/>
        <v>209</v>
      </c>
      <c r="B229" s="173">
        <f t="shared" si="27"/>
        <v>0</v>
      </c>
      <c r="C229" s="173">
        <f t="shared" si="21"/>
        <v>0</v>
      </c>
      <c r="D229" s="173">
        <f t="shared" si="22"/>
        <v>0</v>
      </c>
      <c r="E229" s="174">
        <f t="shared" si="23"/>
        <v>0</v>
      </c>
      <c r="F229" s="173">
        <f t="shared" si="24"/>
        <v>0</v>
      </c>
      <c r="G229" s="158">
        <f t="shared" si="25"/>
        <v>0</v>
      </c>
    </row>
    <row r="230" spans="1:7" ht="12.75" hidden="1">
      <c r="A230" s="29">
        <f t="shared" si="26"/>
        <v>210</v>
      </c>
      <c r="B230" s="173">
        <f t="shared" si="27"/>
        <v>0</v>
      </c>
      <c r="C230" s="173">
        <f t="shared" si="21"/>
        <v>0</v>
      </c>
      <c r="D230" s="173">
        <f t="shared" si="22"/>
        <v>0</v>
      </c>
      <c r="E230" s="174">
        <f t="shared" si="23"/>
        <v>0</v>
      </c>
      <c r="F230" s="173">
        <f t="shared" si="24"/>
        <v>0</v>
      </c>
      <c r="G230" s="158">
        <f t="shared" si="25"/>
        <v>0</v>
      </c>
    </row>
    <row r="231" spans="1:7" ht="12.75" hidden="1">
      <c r="A231" s="29">
        <f t="shared" si="26"/>
        <v>211</v>
      </c>
      <c r="B231" s="173">
        <f t="shared" si="27"/>
        <v>0</v>
      </c>
      <c r="C231" s="173">
        <f t="shared" si="21"/>
        <v>0</v>
      </c>
      <c r="D231" s="173">
        <f t="shared" si="22"/>
        <v>0</v>
      </c>
      <c r="E231" s="174">
        <f t="shared" si="23"/>
        <v>0</v>
      </c>
      <c r="F231" s="173">
        <f t="shared" si="24"/>
        <v>0</v>
      </c>
      <c r="G231" s="158">
        <f t="shared" si="25"/>
        <v>0</v>
      </c>
    </row>
    <row r="232" spans="1:7" ht="12.75" hidden="1">
      <c r="A232" s="29">
        <f t="shared" si="26"/>
        <v>212</v>
      </c>
      <c r="B232" s="173">
        <f t="shared" si="27"/>
        <v>0</v>
      </c>
      <c r="C232" s="173">
        <f t="shared" si="21"/>
        <v>0</v>
      </c>
      <c r="D232" s="173">
        <f t="shared" si="22"/>
        <v>0</v>
      </c>
      <c r="E232" s="174">
        <f t="shared" si="23"/>
        <v>0</v>
      </c>
      <c r="F232" s="173">
        <f t="shared" si="24"/>
        <v>0</v>
      </c>
      <c r="G232" s="158">
        <f t="shared" si="25"/>
        <v>0</v>
      </c>
    </row>
    <row r="233" spans="1:7" ht="12.75" hidden="1">
      <c r="A233" s="29">
        <f t="shared" si="26"/>
        <v>213</v>
      </c>
      <c r="B233" s="173">
        <f t="shared" si="27"/>
        <v>0</v>
      </c>
      <c r="C233" s="173">
        <f t="shared" si="21"/>
        <v>0</v>
      </c>
      <c r="D233" s="173">
        <f t="shared" si="22"/>
        <v>0</v>
      </c>
      <c r="E233" s="174">
        <f t="shared" si="23"/>
        <v>0</v>
      </c>
      <c r="F233" s="173">
        <f t="shared" si="24"/>
        <v>0</v>
      </c>
      <c r="G233" s="158">
        <f t="shared" si="25"/>
        <v>0</v>
      </c>
    </row>
    <row r="234" spans="1:7" ht="12.75" hidden="1">
      <c r="A234" s="29">
        <f t="shared" si="26"/>
        <v>214</v>
      </c>
      <c r="B234" s="173">
        <f t="shared" si="27"/>
        <v>0</v>
      </c>
      <c r="C234" s="173">
        <f t="shared" si="21"/>
        <v>0</v>
      </c>
      <c r="D234" s="173">
        <f t="shared" si="22"/>
        <v>0</v>
      </c>
      <c r="E234" s="174">
        <f t="shared" si="23"/>
        <v>0</v>
      </c>
      <c r="F234" s="173">
        <f t="shared" si="24"/>
        <v>0</v>
      </c>
      <c r="G234" s="158">
        <f t="shared" si="25"/>
        <v>0</v>
      </c>
    </row>
    <row r="235" spans="1:7" ht="12.75" hidden="1">
      <c r="A235" s="29">
        <f t="shared" si="26"/>
        <v>215</v>
      </c>
      <c r="B235" s="173">
        <f t="shared" si="27"/>
        <v>0</v>
      </c>
      <c r="C235" s="173">
        <f t="shared" si="21"/>
        <v>0</v>
      </c>
      <c r="D235" s="173">
        <f t="shared" si="22"/>
        <v>0</v>
      </c>
      <c r="E235" s="174">
        <f t="shared" si="23"/>
        <v>0</v>
      </c>
      <c r="F235" s="173">
        <f t="shared" si="24"/>
        <v>0</v>
      </c>
      <c r="G235" s="158">
        <f t="shared" si="25"/>
        <v>0</v>
      </c>
    </row>
    <row r="236" spans="1:7" ht="12.75" hidden="1">
      <c r="A236" s="29">
        <f t="shared" si="26"/>
        <v>216</v>
      </c>
      <c r="B236" s="173">
        <f t="shared" si="27"/>
        <v>0</v>
      </c>
      <c r="C236" s="173">
        <f t="shared" si="21"/>
        <v>0</v>
      </c>
      <c r="D236" s="173">
        <f t="shared" si="22"/>
        <v>0</v>
      </c>
      <c r="E236" s="174">
        <f t="shared" si="23"/>
        <v>0</v>
      </c>
      <c r="F236" s="173">
        <f t="shared" si="24"/>
        <v>0</v>
      </c>
      <c r="G236" s="158">
        <f t="shared" si="25"/>
        <v>0</v>
      </c>
    </row>
    <row r="237" spans="1:7" ht="12.75" hidden="1">
      <c r="A237" s="29">
        <f t="shared" si="26"/>
        <v>217</v>
      </c>
      <c r="B237" s="173">
        <f t="shared" si="27"/>
        <v>0</v>
      </c>
      <c r="C237" s="173">
        <f t="shared" si="21"/>
        <v>0</v>
      </c>
      <c r="D237" s="173">
        <f t="shared" si="22"/>
        <v>0</v>
      </c>
      <c r="E237" s="174">
        <f t="shared" si="23"/>
        <v>0</v>
      </c>
      <c r="F237" s="173">
        <f t="shared" si="24"/>
        <v>0</v>
      </c>
      <c r="G237" s="158">
        <f t="shared" si="25"/>
        <v>0</v>
      </c>
    </row>
    <row r="238" spans="1:7" ht="12.75" hidden="1">
      <c r="A238" s="29">
        <f t="shared" si="26"/>
        <v>218</v>
      </c>
      <c r="B238" s="173">
        <f t="shared" si="27"/>
        <v>0</v>
      </c>
      <c r="C238" s="173">
        <f t="shared" si="21"/>
        <v>0</v>
      </c>
      <c r="D238" s="173">
        <f t="shared" si="22"/>
        <v>0</v>
      </c>
      <c r="E238" s="174">
        <f t="shared" si="23"/>
        <v>0</v>
      </c>
      <c r="F238" s="173">
        <f t="shared" si="24"/>
        <v>0</v>
      </c>
      <c r="G238" s="158">
        <f t="shared" si="25"/>
        <v>0</v>
      </c>
    </row>
    <row r="239" spans="1:7" ht="12.75" hidden="1">
      <c r="A239" s="29">
        <f t="shared" si="26"/>
        <v>219</v>
      </c>
      <c r="B239" s="173">
        <f t="shared" si="27"/>
        <v>0</v>
      </c>
      <c r="C239" s="173">
        <f t="shared" si="21"/>
        <v>0</v>
      </c>
      <c r="D239" s="173">
        <f t="shared" si="22"/>
        <v>0</v>
      </c>
      <c r="E239" s="174">
        <f t="shared" si="23"/>
        <v>0</v>
      </c>
      <c r="F239" s="173">
        <f t="shared" si="24"/>
        <v>0</v>
      </c>
      <c r="G239" s="158">
        <f t="shared" si="25"/>
        <v>0</v>
      </c>
    </row>
    <row r="240" spans="1:7" ht="12.75" hidden="1">
      <c r="A240" s="29">
        <f t="shared" si="26"/>
        <v>220</v>
      </c>
      <c r="B240" s="173">
        <f t="shared" si="27"/>
        <v>0</v>
      </c>
      <c r="C240" s="173">
        <f t="shared" si="21"/>
        <v>0</v>
      </c>
      <c r="D240" s="173">
        <f t="shared" si="22"/>
        <v>0</v>
      </c>
      <c r="E240" s="174">
        <f t="shared" si="23"/>
        <v>0</v>
      </c>
      <c r="F240" s="173">
        <f t="shared" si="24"/>
        <v>0</v>
      </c>
      <c r="G240" s="158">
        <f t="shared" si="25"/>
        <v>0</v>
      </c>
    </row>
    <row r="241" spans="1:7" ht="12.75" hidden="1">
      <c r="A241" s="29">
        <f t="shared" si="26"/>
        <v>221</v>
      </c>
      <c r="B241" s="173">
        <f t="shared" si="27"/>
        <v>0</v>
      </c>
      <c r="C241" s="173">
        <f t="shared" si="21"/>
        <v>0</v>
      </c>
      <c r="D241" s="173">
        <f t="shared" si="22"/>
        <v>0</v>
      </c>
      <c r="E241" s="174">
        <f t="shared" si="23"/>
        <v>0</v>
      </c>
      <c r="F241" s="173">
        <f t="shared" si="24"/>
        <v>0</v>
      </c>
      <c r="G241" s="158">
        <f t="shared" si="25"/>
        <v>0</v>
      </c>
    </row>
    <row r="242" spans="1:7" ht="12.75" hidden="1">
      <c r="A242" s="29">
        <f t="shared" si="26"/>
        <v>222</v>
      </c>
      <c r="B242" s="173">
        <f t="shared" si="27"/>
        <v>0</v>
      </c>
      <c r="C242" s="173">
        <f t="shared" si="21"/>
        <v>0</v>
      </c>
      <c r="D242" s="173">
        <f t="shared" si="22"/>
        <v>0</v>
      </c>
      <c r="E242" s="174">
        <f t="shared" si="23"/>
        <v>0</v>
      </c>
      <c r="F242" s="173">
        <f t="shared" si="24"/>
        <v>0</v>
      </c>
      <c r="G242" s="158">
        <f t="shared" si="25"/>
        <v>0</v>
      </c>
    </row>
    <row r="243" spans="1:7" ht="12.75" hidden="1">
      <c r="A243" s="29">
        <f t="shared" si="26"/>
        <v>223</v>
      </c>
      <c r="B243" s="173">
        <f t="shared" si="27"/>
        <v>0</v>
      </c>
      <c r="C243" s="173">
        <f t="shared" si="21"/>
        <v>0</v>
      </c>
      <c r="D243" s="173">
        <f t="shared" si="22"/>
        <v>0</v>
      </c>
      <c r="E243" s="174">
        <f t="shared" si="23"/>
        <v>0</v>
      </c>
      <c r="F243" s="173">
        <f t="shared" si="24"/>
        <v>0</v>
      </c>
      <c r="G243" s="158">
        <f t="shared" si="25"/>
        <v>0</v>
      </c>
    </row>
    <row r="244" spans="1:7" ht="12.75" hidden="1">
      <c r="A244" s="29">
        <f t="shared" si="26"/>
        <v>224</v>
      </c>
      <c r="B244" s="173">
        <f t="shared" si="27"/>
        <v>0</v>
      </c>
      <c r="C244" s="173">
        <f t="shared" si="21"/>
        <v>0</v>
      </c>
      <c r="D244" s="173">
        <f t="shared" si="22"/>
        <v>0</v>
      </c>
      <c r="E244" s="174">
        <f t="shared" si="23"/>
        <v>0</v>
      </c>
      <c r="F244" s="173">
        <f t="shared" si="24"/>
        <v>0</v>
      </c>
      <c r="G244" s="158">
        <f t="shared" si="25"/>
        <v>0</v>
      </c>
    </row>
    <row r="245" spans="1:7" ht="12.75" hidden="1">
      <c r="A245" s="29">
        <f t="shared" si="26"/>
        <v>225</v>
      </c>
      <c r="B245" s="173">
        <f t="shared" si="27"/>
        <v>0</v>
      </c>
      <c r="C245" s="173">
        <f t="shared" si="21"/>
        <v>0</v>
      </c>
      <c r="D245" s="173">
        <f t="shared" si="22"/>
        <v>0</v>
      </c>
      <c r="E245" s="174">
        <f t="shared" si="23"/>
        <v>0</v>
      </c>
      <c r="F245" s="173">
        <f t="shared" si="24"/>
        <v>0</v>
      </c>
      <c r="G245" s="158">
        <f t="shared" si="25"/>
        <v>0</v>
      </c>
    </row>
    <row r="246" spans="1:7" ht="12.75" hidden="1">
      <c r="A246" s="29">
        <f t="shared" si="26"/>
        <v>226</v>
      </c>
      <c r="B246" s="173">
        <f t="shared" si="27"/>
        <v>0</v>
      </c>
      <c r="C246" s="173">
        <f t="shared" si="21"/>
        <v>0</v>
      </c>
      <c r="D246" s="173">
        <f t="shared" si="22"/>
        <v>0</v>
      </c>
      <c r="E246" s="174">
        <f t="shared" si="23"/>
        <v>0</v>
      </c>
      <c r="F246" s="173">
        <f t="shared" si="24"/>
        <v>0</v>
      </c>
      <c r="G246" s="158">
        <f t="shared" si="25"/>
        <v>0</v>
      </c>
    </row>
    <row r="247" spans="1:7" ht="12.75" hidden="1">
      <c r="A247" s="29">
        <f t="shared" si="26"/>
        <v>227</v>
      </c>
      <c r="B247" s="173">
        <f t="shared" si="27"/>
        <v>0</v>
      </c>
      <c r="C247" s="173">
        <f t="shared" si="21"/>
        <v>0</v>
      </c>
      <c r="D247" s="173">
        <f t="shared" si="22"/>
        <v>0</v>
      </c>
      <c r="E247" s="174">
        <f t="shared" si="23"/>
        <v>0</v>
      </c>
      <c r="F247" s="173">
        <f t="shared" si="24"/>
        <v>0</v>
      </c>
      <c r="G247" s="158">
        <f t="shared" si="25"/>
        <v>0</v>
      </c>
    </row>
    <row r="248" spans="1:7" ht="12.75" hidden="1">
      <c r="A248" s="29">
        <f t="shared" si="26"/>
        <v>228</v>
      </c>
      <c r="B248" s="173">
        <f t="shared" si="27"/>
        <v>0</v>
      </c>
      <c r="C248" s="173">
        <f t="shared" si="21"/>
        <v>0</v>
      </c>
      <c r="D248" s="173">
        <f t="shared" si="22"/>
        <v>0</v>
      </c>
      <c r="E248" s="174">
        <f t="shared" si="23"/>
        <v>0</v>
      </c>
      <c r="F248" s="173">
        <f t="shared" si="24"/>
        <v>0</v>
      </c>
      <c r="G248" s="158">
        <f t="shared" si="25"/>
        <v>0</v>
      </c>
    </row>
    <row r="249" spans="1:7" ht="12.75" hidden="1">
      <c r="A249" s="29">
        <f t="shared" si="26"/>
        <v>229</v>
      </c>
      <c r="B249" s="173">
        <f t="shared" si="27"/>
        <v>0</v>
      </c>
      <c r="C249" s="173">
        <f t="shared" si="21"/>
        <v>0</v>
      </c>
      <c r="D249" s="173">
        <f t="shared" si="22"/>
        <v>0</v>
      </c>
      <c r="E249" s="174">
        <f t="shared" si="23"/>
        <v>0</v>
      </c>
      <c r="F249" s="173">
        <f t="shared" si="24"/>
        <v>0</v>
      </c>
      <c r="G249" s="158">
        <f t="shared" si="25"/>
        <v>0</v>
      </c>
    </row>
    <row r="250" spans="1:7" ht="12.75" hidden="1">
      <c r="A250" s="29">
        <f t="shared" si="26"/>
        <v>230</v>
      </c>
      <c r="B250" s="173">
        <f t="shared" si="27"/>
        <v>0</v>
      </c>
      <c r="C250" s="173">
        <f t="shared" si="21"/>
        <v>0</v>
      </c>
      <c r="D250" s="173">
        <f t="shared" si="22"/>
        <v>0</v>
      </c>
      <c r="E250" s="174">
        <f t="shared" si="23"/>
        <v>0</v>
      </c>
      <c r="F250" s="173">
        <f t="shared" si="24"/>
        <v>0</v>
      </c>
      <c r="G250" s="158">
        <f t="shared" si="25"/>
        <v>0</v>
      </c>
    </row>
    <row r="251" spans="1:7" ht="12.75" hidden="1">
      <c r="A251" s="29">
        <f t="shared" si="26"/>
        <v>231</v>
      </c>
      <c r="B251" s="173">
        <f t="shared" si="27"/>
        <v>0</v>
      </c>
      <c r="C251" s="173">
        <f t="shared" si="21"/>
        <v>0</v>
      </c>
      <c r="D251" s="173">
        <f t="shared" si="22"/>
        <v>0</v>
      </c>
      <c r="E251" s="174">
        <f t="shared" si="23"/>
        <v>0</v>
      </c>
      <c r="F251" s="173">
        <f t="shared" si="24"/>
        <v>0</v>
      </c>
      <c r="G251" s="158">
        <f t="shared" si="25"/>
        <v>0</v>
      </c>
    </row>
    <row r="252" spans="1:7" ht="12.75" hidden="1">
      <c r="A252" s="29">
        <f t="shared" si="26"/>
        <v>232</v>
      </c>
      <c r="B252" s="173">
        <f t="shared" si="27"/>
        <v>0</v>
      </c>
      <c r="C252" s="173">
        <f t="shared" si="21"/>
        <v>0</v>
      </c>
      <c r="D252" s="173">
        <f t="shared" si="22"/>
        <v>0</v>
      </c>
      <c r="E252" s="174">
        <f t="shared" si="23"/>
        <v>0</v>
      </c>
      <c r="F252" s="173">
        <f t="shared" si="24"/>
        <v>0</v>
      </c>
      <c r="G252" s="158">
        <f t="shared" si="25"/>
        <v>0</v>
      </c>
    </row>
    <row r="253" spans="1:7" ht="12.75" hidden="1">
      <c r="A253" s="29">
        <f t="shared" si="26"/>
        <v>233</v>
      </c>
      <c r="B253" s="173">
        <f t="shared" si="27"/>
        <v>0</v>
      </c>
      <c r="C253" s="173">
        <f t="shared" si="21"/>
        <v>0</v>
      </c>
      <c r="D253" s="173">
        <f t="shared" si="22"/>
        <v>0</v>
      </c>
      <c r="E253" s="174">
        <f t="shared" si="23"/>
        <v>0</v>
      </c>
      <c r="F253" s="173">
        <f t="shared" si="24"/>
        <v>0</v>
      </c>
      <c r="G253" s="158">
        <f t="shared" si="25"/>
        <v>0</v>
      </c>
    </row>
    <row r="254" spans="1:7" ht="12.75" hidden="1">
      <c r="A254" s="29">
        <f t="shared" si="26"/>
        <v>234</v>
      </c>
      <c r="B254" s="173">
        <f t="shared" si="27"/>
        <v>0</v>
      </c>
      <c r="C254" s="173">
        <f t="shared" si="21"/>
        <v>0</v>
      </c>
      <c r="D254" s="173">
        <f t="shared" si="22"/>
        <v>0</v>
      </c>
      <c r="E254" s="174">
        <f t="shared" si="23"/>
        <v>0</v>
      </c>
      <c r="F254" s="173">
        <f t="shared" si="24"/>
        <v>0</v>
      </c>
      <c r="G254" s="158">
        <f t="shared" si="25"/>
        <v>0</v>
      </c>
    </row>
    <row r="255" spans="1:7" ht="12.75" hidden="1">
      <c r="A255" s="29">
        <f t="shared" si="26"/>
        <v>235</v>
      </c>
      <c r="B255" s="173">
        <f t="shared" si="27"/>
        <v>0</v>
      </c>
      <c r="C255" s="173">
        <f t="shared" si="21"/>
        <v>0</v>
      </c>
      <c r="D255" s="173">
        <f t="shared" si="22"/>
        <v>0</v>
      </c>
      <c r="E255" s="174">
        <f t="shared" si="23"/>
        <v>0</v>
      </c>
      <c r="F255" s="173">
        <f t="shared" si="24"/>
        <v>0</v>
      </c>
      <c r="G255" s="158">
        <f t="shared" si="25"/>
        <v>0</v>
      </c>
    </row>
    <row r="256" spans="1:7" ht="12.75" hidden="1">
      <c r="A256" s="29">
        <f t="shared" si="26"/>
        <v>236</v>
      </c>
      <c r="B256" s="173">
        <f t="shared" si="27"/>
        <v>0</v>
      </c>
      <c r="C256" s="173">
        <f t="shared" si="21"/>
        <v>0</v>
      </c>
      <c r="D256" s="173">
        <f t="shared" si="22"/>
        <v>0</v>
      </c>
      <c r="E256" s="174">
        <f t="shared" si="23"/>
        <v>0</v>
      </c>
      <c r="F256" s="173">
        <f t="shared" si="24"/>
        <v>0</v>
      </c>
      <c r="G256" s="158">
        <f t="shared" si="25"/>
        <v>0</v>
      </c>
    </row>
    <row r="257" spans="1:7" ht="12.75" hidden="1">
      <c r="A257" s="29">
        <f t="shared" si="26"/>
        <v>237</v>
      </c>
      <c r="B257" s="173">
        <f t="shared" si="27"/>
        <v>0</v>
      </c>
      <c r="C257" s="173">
        <f t="shared" si="21"/>
        <v>0</v>
      </c>
      <c r="D257" s="173">
        <f t="shared" si="22"/>
        <v>0</v>
      </c>
      <c r="E257" s="174">
        <f t="shared" si="23"/>
        <v>0</v>
      </c>
      <c r="F257" s="173">
        <f t="shared" si="24"/>
        <v>0</v>
      </c>
      <c r="G257" s="158">
        <f t="shared" si="25"/>
        <v>0</v>
      </c>
    </row>
    <row r="258" spans="1:7" ht="12.75" hidden="1">
      <c r="A258" s="29">
        <f t="shared" si="26"/>
        <v>238</v>
      </c>
      <c r="B258" s="173">
        <f t="shared" si="27"/>
        <v>0</v>
      </c>
      <c r="C258" s="173">
        <f t="shared" si="21"/>
        <v>0</v>
      </c>
      <c r="D258" s="173">
        <f t="shared" si="22"/>
        <v>0</v>
      </c>
      <c r="E258" s="174">
        <f t="shared" si="23"/>
        <v>0</v>
      </c>
      <c r="F258" s="173">
        <f t="shared" si="24"/>
        <v>0</v>
      </c>
      <c r="G258" s="158">
        <f t="shared" si="25"/>
        <v>0</v>
      </c>
    </row>
    <row r="259" spans="1:7" ht="12.75" hidden="1">
      <c r="A259" s="29">
        <f t="shared" si="26"/>
        <v>239</v>
      </c>
      <c r="B259" s="173">
        <f t="shared" si="27"/>
        <v>0</v>
      </c>
      <c r="C259" s="173">
        <f t="shared" si="21"/>
        <v>0</v>
      </c>
      <c r="D259" s="173">
        <f t="shared" si="22"/>
        <v>0</v>
      </c>
      <c r="E259" s="174">
        <f t="shared" si="23"/>
        <v>0</v>
      </c>
      <c r="F259" s="173">
        <f t="shared" si="24"/>
        <v>0</v>
      </c>
      <c r="G259" s="158">
        <f t="shared" si="25"/>
        <v>0</v>
      </c>
    </row>
    <row r="260" spans="1:7" ht="12.75" hidden="1">
      <c r="A260" s="29">
        <f t="shared" si="26"/>
        <v>240</v>
      </c>
      <c r="B260" s="173">
        <f t="shared" si="27"/>
        <v>0</v>
      </c>
      <c r="C260" s="173">
        <f t="shared" si="21"/>
        <v>0</v>
      </c>
      <c r="D260" s="173">
        <f t="shared" si="22"/>
        <v>0</v>
      </c>
      <c r="E260" s="174">
        <f t="shared" si="23"/>
        <v>0</v>
      </c>
      <c r="F260" s="173">
        <f t="shared" si="24"/>
        <v>0</v>
      </c>
      <c r="G260" s="158">
        <f t="shared" si="25"/>
        <v>0</v>
      </c>
    </row>
    <row r="261" spans="1:7" ht="12.75" hidden="1">
      <c r="A261" s="29">
        <f t="shared" si="26"/>
        <v>241</v>
      </c>
      <c r="B261" s="173">
        <f t="shared" si="27"/>
        <v>0</v>
      </c>
      <c r="C261" s="173">
        <f t="shared" si="21"/>
        <v>0</v>
      </c>
      <c r="D261" s="173">
        <f t="shared" si="22"/>
        <v>0</v>
      </c>
      <c r="E261" s="174">
        <f t="shared" si="23"/>
        <v>0</v>
      </c>
      <c r="F261" s="173">
        <f t="shared" si="24"/>
        <v>0</v>
      </c>
      <c r="G261" s="158">
        <f t="shared" si="25"/>
        <v>0</v>
      </c>
    </row>
    <row r="262" spans="1:7" ht="12.75" hidden="1">
      <c r="A262" s="29">
        <f t="shared" si="26"/>
        <v>242</v>
      </c>
      <c r="B262" s="173">
        <f t="shared" si="27"/>
        <v>0</v>
      </c>
      <c r="C262" s="173">
        <f t="shared" si="21"/>
        <v>0</v>
      </c>
      <c r="D262" s="173">
        <f t="shared" si="22"/>
        <v>0</v>
      </c>
      <c r="E262" s="174">
        <f t="shared" si="23"/>
        <v>0</v>
      </c>
      <c r="F262" s="173">
        <f t="shared" si="24"/>
        <v>0</v>
      </c>
      <c r="G262" s="158">
        <f t="shared" si="25"/>
        <v>0</v>
      </c>
    </row>
    <row r="263" spans="1:7" ht="12.75" hidden="1">
      <c r="A263" s="29">
        <f t="shared" si="26"/>
        <v>243</v>
      </c>
      <c r="B263" s="173">
        <f t="shared" si="27"/>
        <v>0</v>
      </c>
      <c r="C263" s="173">
        <f t="shared" si="21"/>
        <v>0</v>
      </c>
      <c r="D263" s="173">
        <f t="shared" si="22"/>
        <v>0</v>
      </c>
      <c r="E263" s="174">
        <f t="shared" si="23"/>
        <v>0</v>
      </c>
      <c r="F263" s="173">
        <f t="shared" si="24"/>
        <v>0</v>
      </c>
      <c r="G263" s="158">
        <f t="shared" si="25"/>
        <v>0</v>
      </c>
    </row>
    <row r="264" spans="1:7" ht="12.75" hidden="1">
      <c r="A264" s="29">
        <f t="shared" si="26"/>
        <v>244</v>
      </c>
      <c r="B264" s="173">
        <f t="shared" si="27"/>
        <v>0</v>
      </c>
      <c r="C264" s="173">
        <f t="shared" si="21"/>
        <v>0</v>
      </c>
      <c r="D264" s="173">
        <f t="shared" si="22"/>
        <v>0</v>
      </c>
      <c r="E264" s="174">
        <f t="shared" si="23"/>
        <v>0</v>
      </c>
      <c r="F264" s="173">
        <f t="shared" si="24"/>
        <v>0</v>
      </c>
      <c r="G264" s="158">
        <f t="shared" si="25"/>
        <v>0</v>
      </c>
    </row>
    <row r="265" spans="1:7" ht="12.75" hidden="1">
      <c r="A265" s="29">
        <f t="shared" si="26"/>
        <v>245</v>
      </c>
      <c r="B265" s="173">
        <f t="shared" si="27"/>
        <v>0</v>
      </c>
      <c r="C265" s="173">
        <f t="shared" si="21"/>
        <v>0</v>
      </c>
      <c r="D265" s="173">
        <f t="shared" si="22"/>
        <v>0</v>
      </c>
      <c r="E265" s="174">
        <f t="shared" si="23"/>
        <v>0</v>
      </c>
      <c r="F265" s="173">
        <f t="shared" si="24"/>
        <v>0</v>
      </c>
      <c r="G265" s="158">
        <f t="shared" si="25"/>
        <v>0</v>
      </c>
    </row>
    <row r="266" spans="1:7" ht="12.75" hidden="1">
      <c r="A266" s="29">
        <f t="shared" si="26"/>
        <v>246</v>
      </c>
      <c r="B266" s="173">
        <f t="shared" si="27"/>
        <v>0</v>
      </c>
      <c r="C266" s="173">
        <f t="shared" si="21"/>
        <v>0</v>
      </c>
      <c r="D266" s="173">
        <f t="shared" si="22"/>
        <v>0</v>
      </c>
      <c r="E266" s="174">
        <f t="shared" si="23"/>
        <v>0</v>
      </c>
      <c r="F266" s="173">
        <f t="shared" si="24"/>
        <v>0</v>
      </c>
      <c r="G266" s="158">
        <f t="shared" si="25"/>
        <v>0</v>
      </c>
    </row>
    <row r="267" spans="1:7" ht="12.75" hidden="1">
      <c r="A267" s="29">
        <f t="shared" si="26"/>
        <v>247</v>
      </c>
      <c r="B267" s="173">
        <f t="shared" si="27"/>
        <v>0</v>
      </c>
      <c r="C267" s="173">
        <f t="shared" si="21"/>
        <v>0</v>
      </c>
      <c r="D267" s="173">
        <f t="shared" si="22"/>
        <v>0</v>
      </c>
      <c r="E267" s="174">
        <f t="shared" si="23"/>
        <v>0</v>
      </c>
      <c r="F267" s="173">
        <f t="shared" si="24"/>
        <v>0</v>
      </c>
      <c r="G267" s="158">
        <f t="shared" si="25"/>
        <v>0</v>
      </c>
    </row>
    <row r="268" spans="1:7" ht="12.75" hidden="1">
      <c r="A268" s="29">
        <f t="shared" si="26"/>
        <v>248</v>
      </c>
      <c r="B268" s="173">
        <f t="shared" si="27"/>
        <v>0</v>
      </c>
      <c r="C268" s="173">
        <f t="shared" si="21"/>
        <v>0</v>
      </c>
      <c r="D268" s="173">
        <f t="shared" si="22"/>
        <v>0</v>
      </c>
      <c r="E268" s="174">
        <f t="shared" si="23"/>
        <v>0</v>
      </c>
      <c r="F268" s="173">
        <f t="shared" si="24"/>
        <v>0</v>
      </c>
      <c r="G268" s="158">
        <f t="shared" si="25"/>
        <v>0</v>
      </c>
    </row>
    <row r="269" spans="1:7" ht="12.75" hidden="1">
      <c r="A269" s="29">
        <f t="shared" si="26"/>
        <v>249</v>
      </c>
      <c r="B269" s="173">
        <f t="shared" si="27"/>
        <v>0</v>
      </c>
      <c r="C269" s="173">
        <f t="shared" si="21"/>
        <v>0</v>
      </c>
      <c r="D269" s="173">
        <f t="shared" si="22"/>
        <v>0</v>
      </c>
      <c r="E269" s="174">
        <f t="shared" si="23"/>
        <v>0</v>
      </c>
      <c r="F269" s="173">
        <f t="shared" si="24"/>
        <v>0</v>
      </c>
      <c r="G269" s="158">
        <f t="shared" si="25"/>
        <v>0</v>
      </c>
    </row>
    <row r="270" spans="1:7" ht="12.75" hidden="1">
      <c r="A270" s="29">
        <f t="shared" si="26"/>
        <v>250</v>
      </c>
      <c r="B270" s="173">
        <f t="shared" si="27"/>
        <v>0</v>
      </c>
      <c r="C270" s="173">
        <f t="shared" si="21"/>
        <v>0</v>
      </c>
      <c r="D270" s="173">
        <f t="shared" si="22"/>
        <v>0</v>
      </c>
      <c r="E270" s="174">
        <f t="shared" si="23"/>
        <v>0</v>
      </c>
      <c r="F270" s="173">
        <f t="shared" si="24"/>
        <v>0</v>
      </c>
      <c r="G270" s="158">
        <f t="shared" si="25"/>
        <v>0</v>
      </c>
    </row>
    <row r="271" spans="1:7" ht="12.75" hidden="1">
      <c r="A271" s="29">
        <f t="shared" si="26"/>
        <v>251</v>
      </c>
      <c r="B271" s="173">
        <f t="shared" si="27"/>
        <v>0</v>
      </c>
      <c r="C271" s="173">
        <f t="shared" si="21"/>
        <v>0</v>
      </c>
      <c r="D271" s="173">
        <f t="shared" si="22"/>
        <v>0</v>
      </c>
      <c r="E271" s="174">
        <f t="shared" si="23"/>
        <v>0</v>
      </c>
      <c r="F271" s="173">
        <f t="shared" si="24"/>
        <v>0</v>
      </c>
      <c r="G271" s="158">
        <f t="shared" si="25"/>
        <v>0</v>
      </c>
    </row>
    <row r="272" spans="1:7" ht="12.75" hidden="1">
      <c r="A272" s="29">
        <f t="shared" si="26"/>
        <v>252</v>
      </c>
      <c r="B272" s="173">
        <f t="shared" si="27"/>
        <v>0</v>
      </c>
      <c r="C272" s="173">
        <f t="shared" si="21"/>
        <v>0</v>
      </c>
      <c r="D272" s="173">
        <f t="shared" si="22"/>
        <v>0</v>
      </c>
      <c r="E272" s="174">
        <f t="shared" si="23"/>
        <v>0</v>
      </c>
      <c r="F272" s="173">
        <f t="shared" si="24"/>
        <v>0</v>
      </c>
      <c r="G272" s="158">
        <f t="shared" si="25"/>
        <v>0</v>
      </c>
    </row>
    <row r="273" spans="1:7" ht="12.75" hidden="1">
      <c r="A273" s="29">
        <f t="shared" si="26"/>
        <v>253</v>
      </c>
      <c r="B273" s="173">
        <f t="shared" si="27"/>
        <v>0</v>
      </c>
      <c r="C273" s="173">
        <f t="shared" si="21"/>
        <v>0</v>
      </c>
      <c r="D273" s="173">
        <f t="shared" si="22"/>
        <v>0</v>
      </c>
      <c r="E273" s="174">
        <f t="shared" si="23"/>
        <v>0</v>
      </c>
      <c r="F273" s="173">
        <f t="shared" si="24"/>
        <v>0</v>
      </c>
      <c r="G273" s="158">
        <f t="shared" si="25"/>
        <v>0</v>
      </c>
    </row>
    <row r="274" spans="1:7" ht="12.75" hidden="1">
      <c r="A274" s="29">
        <f t="shared" si="26"/>
        <v>254</v>
      </c>
      <c r="B274" s="173">
        <f t="shared" si="27"/>
        <v>0</v>
      </c>
      <c r="C274" s="173">
        <f t="shared" si="21"/>
        <v>0</v>
      </c>
      <c r="D274" s="173">
        <f t="shared" si="22"/>
        <v>0</v>
      </c>
      <c r="E274" s="174">
        <f t="shared" si="23"/>
        <v>0</v>
      </c>
      <c r="F274" s="173">
        <f t="shared" si="24"/>
        <v>0</v>
      </c>
      <c r="G274" s="158">
        <f t="shared" si="25"/>
        <v>0</v>
      </c>
    </row>
    <row r="275" spans="1:7" ht="12.75" hidden="1">
      <c r="A275" s="29">
        <f t="shared" si="26"/>
        <v>255</v>
      </c>
      <c r="B275" s="173">
        <f t="shared" si="27"/>
        <v>0</v>
      </c>
      <c r="C275" s="173">
        <f t="shared" si="21"/>
        <v>0</v>
      </c>
      <c r="D275" s="173">
        <f t="shared" si="22"/>
        <v>0</v>
      </c>
      <c r="E275" s="174">
        <f t="shared" si="23"/>
        <v>0</v>
      </c>
      <c r="F275" s="173">
        <f t="shared" si="24"/>
        <v>0</v>
      </c>
      <c r="G275" s="158">
        <f t="shared" si="25"/>
        <v>0</v>
      </c>
    </row>
    <row r="276" spans="1:7" ht="12.75" hidden="1">
      <c r="A276" s="29">
        <f t="shared" si="26"/>
        <v>256</v>
      </c>
      <c r="B276" s="173">
        <f t="shared" si="27"/>
        <v>0</v>
      </c>
      <c r="C276" s="173">
        <f t="shared" si="21"/>
        <v>0</v>
      </c>
      <c r="D276" s="173">
        <f t="shared" si="22"/>
        <v>0</v>
      </c>
      <c r="E276" s="174">
        <f t="shared" si="23"/>
        <v>0</v>
      </c>
      <c r="F276" s="173">
        <f t="shared" si="24"/>
        <v>0</v>
      </c>
      <c r="G276" s="158">
        <f t="shared" si="25"/>
        <v>0</v>
      </c>
    </row>
    <row r="277" spans="1:7" ht="12.75" hidden="1">
      <c r="A277" s="29">
        <f t="shared" si="26"/>
        <v>257</v>
      </c>
      <c r="B277" s="173">
        <f t="shared" si="27"/>
        <v>0</v>
      </c>
      <c r="C277" s="173">
        <f aca="true" t="shared" si="28" ref="C277:C340">IF(A277&lt;=$D$9,$D$14*-1,0)</f>
        <v>0</v>
      </c>
      <c r="D277" s="173">
        <f aca="true" t="shared" si="29" ref="D277:D340">IF(A277&gt;$D$9,0,$D$11*-1)</f>
        <v>0</v>
      </c>
      <c r="E277" s="174">
        <f aca="true" t="shared" si="30" ref="E277:E340">B277*$D$10</f>
        <v>0</v>
      </c>
      <c r="F277" s="173">
        <f aca="true" t="shared" si="31" ref="F277:F340">D277-E277</f>
        <v>0</v>
      </c>
      <c r="G277" s="158">
        <f aca="true" t="shared" si="32" ref="G277:G340">B277-F277</f>
        <v>0</v>
      </c>
    </row>
    <row r="278" spans="1:7" ht="12.75" hidden="1">
      <c r="A278" s="29">
        <f aca="true" t="shared" si="33" ref="A278:A341">A277+1</f>
        <v>258</v>
      </c>
      <c r="B278" s="173">
        <f aca="true" t="shared" si="34" ref="B278:B341">IF(A278&lt;=$D$9,G277,0)</f>
        <v>0</v>
      </c>
      <c r="C278" s="173">
        <f t="shared" si="28"/>
        <v>0</v>
      </c>
      <c r="D278" s="173">
        <f t="shared" si="29"/>
        <v>0</v>
      </c>
      <c r="E278" s="174">
        <f t="shared" si="30"/>
        <v>0</v>
      </c>
      <c r="F278" s="173">
        <f t="shared" si="31"/>
        <v>0</v>
      </c>
      <c r="G278" s="158">
        <f t="shared" si="32"/>
        <v>0</v>
      </c>
    </row>
    <row r="279" spans="1:7" ht="12.75" hidden="1">
      <c r="A279" s="29">
        <f t="shared" si="33"/>
        <v>259</v>
      </c>
      <c r="B279" s="173">
        <f t="shared" si="34"/>
        <v>0</v>
      </c>
      <c r="C279" s="173">
        <f t="shared" si="28"/>
        <v>0</v>
      </c>
      <c r="D279" s="173">
        <f t="shared" si="29"/>
        <v>0</v>
      </c>
      <c r="E279" s="174">
        <f t="shared" si="30"/>
        <v>0</v>
      </c>
      <c r="F279" s="173">
        <f t="shared" si="31"/>
        <v>0</v>
      </c>
      <c r="G279" s="158">
        <f t="shared" si="32"/>
        <v>0</v>
      </c>
    </row>
    <row r="280" spans="1:7" ht="12.75" hidden="1">
      <c r="A280" s="29">
        <f t="shared" si="33"/>
        <v>260</v>
      </c>
      <c r="B280" s="173">
        <f t="shared" si="34"/>
        <v>0</v>
      </c>
      <c r="C280" s="173">
        <f t="shared" si="28"/>
        <v>0</v>
      </c>
      <c r="D280" s="173">
        <f t="shared" si="29"/>
        <v>0</v>
      </c>
      <c r="E280" s="174">
        <f t="shared" si="30"/>
        <v>0</v>
      </c>
      <c r="F280" s="173">
        <f t="shared" si="31"/>
        <v>0</v>
      </c>
      <c r="G280" s="158">
        <f t="shared" si="32"/>
        <v>0</v>
      </c>
    </row>
    <row r="281" spans="1:7" ht="12.75" hidden="1">
      <c r="A281" s="29">
        <f t="shared" si="33"/>
        <v>261</v>
      </c>
      <c r="B281" s="173">
        <f t="shared" si="34"/>
        <v>0</v>
      </c>
      <c r="C281" s="173">
        <f t="shared" si="28"/>
        <v>0</v>
      </c>
      <c r="D281" s="173">
        <f t="shared" si="29"/>
        <v>0</v>
      </c>
      <c r="E281" s="174">
        <f t="shared" si="30"/>
        <v>0</v>
      </c>
      <c r="F281" s="173">
        <f t="shared" si="31"/>
        <v>0</v>
      </c>
      <c r="G281" s="158">
        <f t="shared" si="32"/>
        <v>0</v>
      </c>
    </row>
    <row r="282" spans="1:7" ht="12.75" hidden="1">
      <c r="A282" s="29">
        <f t="shared" si="33"/>
        <v>262</v>
      </c>
      <c r="B282" s="173">
        <f t="shared" si="34"/>
        <v>0</v>
      </c>
      <c r="C282" s="173">
        <f t="shared" si="28"/>
        <v>0</v>
      </c>
      <c r="D282" s="173">
        <f t="shared" si="29"/>
        <v>0</v>
      </c>
      <c r="E282" s="174">
        <f t="shared" si="30"/>
        <v>0</v>
      </c>
      <c r="F282" s="173">
        <f t="shared" si="31"/>
        <v>0</v>
      </c>
      <c r="G282" s="158">
        <f t="shared" si="32"/>
        <v>0</v>
      </c>
    </row>
    <row r="283" spans="1:7" ht="12.75" hidden="1">
      <c r="A283" s="29">
        <f t="shared" si="33"/>
        <v>263</v>
      </c>
      <c r="B283" s="173">
        <f t="shared" si="34"/>
        <v>0</v>
      </c>
      <c r="C283" s="173">
        <f t="shared" si="28"/>
        <v>0</v>
      </c>
      <c r="D283" s="173">
        <f t="shared" si="29"/>
        <v>0</v>
      </c>
      <c r="E283" s="174">
        <f t="shared" si="30"/>
        <v>0</v>
      </c>
      <c r="F283" s="173">
        <f t="shared" si="31"/>
        <v>0</v>
      </c>
      <c r="G283" s="158">
        <f t="shared" si="32"/>
        <v>0</v>
      </c>
    </row>
    <row r="284" spans="1:7" ht="12.75" hidden="1">
      <c r="A284" s="29">
        <f t="shared" si="33"/>
        <v>264</v>
      </c>
      <c r="B284" s="173">
        <f t="shared" si="34"/>
        <v>0</v>
      </c>
      <c r="C284" s="173">
        <f t="shared" si="28"/>
        <v>0</v>
      </c>
      <c r="D284" s="173">
        <f t="shared" si="29"/>
        <v>0</v>
      </c>
      <c r="E284" s="174">
        <f t="shared" si="30"/>
        <v>0</v>
      </c>
      <c r="F284" s="173">
        <f t="shared" si="31"/>
        <v>0</v>
      </c>
      <c r="G284" s="158">
        <f t="shared" si="32"/>
        <v>0</v>
      </c>
    </row>
    <row r="285" spans="1:7" ht="12.75" hidden="1">
      <c r="A285" s="29">
        <f t="shared" si="33"/>
        <v>265</v>
      </c>
      <c r="B285" s="173">
        <f t="shared" si="34"/>
        <v>0</v>
      </c>
      <c r="C285" s="173">
        <f t="shared" si="28"/>
        <v>0</v>
      </c>
      <c r="D285" s="173">
        <f t="shared" si="29"/>
        <v>0</v>
      </c>
      <c r="E285" s="174">
        <f t="shared" si="30"/>
        <v>0</v>
      </c>
      <c r="F285" s="173">
        <f t="shared" si="31"/>
        <v>0</v>
      </c>
      <c r="G285" s="158">
        <f t="shared" si="32"/>
        <v>0</v>
      </c>
    </row>
    <row r="286" spans="1:7" ht="12.75" hidden="1">
      <c r="A286" s="29">
        <f t="shared" si="33"/>
        <v>266</v>
      </c>
      <c r="B286" s="173">
        <f t="shared" si="34"/>
        <v>0</v>
      </c>
      <c r="C286" s="173">
        <f t="shared" si="28"/>
        <v>0</v>
      </c>
      <c r="D286" s="173">
        <f t="shared" si="29"/>
        <v>0</v>
      </c>
      <c r="E286" s="174">
        <f t="shared" si="30"/>
        <v>0</v>
      </c>
      <c r="F286" s="173">
        <f t="shared" si="31"/>
        <v>0</v>
      </c>
      <c r="G286" s="158">
        <f t="shared" si="32"/>
        <v>0</v>
      </c>
    </row>
    <row r="287" spans="1:7" ht="12.75" hidden="1">
      <c r="A287" s="29">
        <f t="shared" si="33"/>
        <v>267</v>
      </c>
      <c r="B287" s="173">
        <f t="shared" si="34"/>
        <v>0</v>
      </c>
      <c r="C287" s="173">
        <f t="shared" si="28"/>
        <v>0</v>
      </c>
      <c r="D287" s="173">
        <f t="shared" si="29"/>
        <v>0</v>
      </c>
      <c r="E287" s="174">
        <f t="shared" si="30"/>
        <v>0</v>
      </c>
      <c r="F287" s="173">
        <f t="shared" si="31"/>
        <v>0</v>
      </c>
      <c r="G287" s="158">
        <f t="shared" si="32"/>
        <v>0</v>
      </c>
    </row>
    <row r="288" spans="1:7" ht="12.75" hidden="1">
      <c r="A288" s="29">
        <f t="shared" si="33"/>
        <v>268</v>
      </c>
      <c r="B288" s="173">
        <f t="shared" si="34"/>
        <v>0</v>
      </c>
      <c r="C288" s="173">
        <f t="shared" si="28"/>
        <v>0</v>
      </c>
      <c r="D288" s="173">
        <f t="shared" si="29"/>
        <v>0</v>
      </c>
      <c r="E288" s="174">
        <f t="shared" si="30"/>
        <v>0</v>
      </c>
      <c r="F288" s="173">
        <f t="shared" si="31"/>
        <v>0</v>
      </c>
      <c r="G288" s="158">
        <f t="shared" si="32"/>
        <v>0</v>
      </c>
    </row>
    <row r="289" spans="1:7" ht="12.75" hidden="1">
      <c r="A289" s="29">
        <f t="shared" si="33"/>
        <v>269</v>
      </c>
      <c r="B289" s="173">
        <f t="shared" si="34"/>
        <v>0</v>
      </c>
      <c r="C289" s="173">
        <f t="shared" si="28"/>
        <v>0</v>
      </c>
      <c r="D289" s="173">
        <f t="shared" si="29"/>
        <v>0</v>
      </c>
      <c r="E289" s="174">
        <f t="shared" si="30"/>
        <v>0</v>
      </c>
      <c r="F289" s="173">
        <f t="shared" si="31"/>
        <v>0</v>
      </c>
      <c r="G289" s="158">
        <f t="shared" si="32"/>
        <v>0</v>
      </c>
    </row>
    <row r="290" spans="1:7" ht="12.75" hidden="1">
      <c r="A290" s="29">
        <f t="shared" si="33"/>
        <v>270</v>
      </c>
      <c r="B290" s="173">
        <f t="shared" si="34"/>
        <v>0</v>
      </c>
      <c r="C290" s="173">
        <f t="shared" si="28"/>
        <v>0</v>
      </c>
      <c r="D290" s="173">
        <f t="shared" si="29"/>
        <v>0</v>
      </c>
      <c r="E290" s="174">
        <f t="shared" si="30"/>
        <v>0</v>
      </c>
      <c r="F290" s="173">
        <f t="shared" si="31"/>
        <v>0</v>
      </c>
      <c r="G290" s="158">
        <f t="shared" si="32"/>
        <v>0</v>
      </c>
    </row>
    <row r="291" spans="1:7" ht="12.75" hidden="1">
      <c r="A291" s="29">
        <f t="shared" si="33"/>
        <v>271</v>
      </c>
      <c r="B291" s="173">
        <f t="shared" si="34"/>
        <v>0</v>
      </c>
      <c r="C291" s="173">
        <f t="shared" si="28"/>
        <v>0</v>
      </c>
      <c r="D291" s="173">
        <f t="shared" si="29"/>
        <v>0</v>
      </c>
      <c r="E291" s="174">
        <f t="shared" si="30"/>
        <v>0</v>
      </c>
      <c r="F291" s="173">
        <f t="shared" si="31"/>
        <v>0</v>
      </c>
      <c r="G291" s="158">
        <f t="shared" si="32"/>
        <v>0</v>
      </c>
    </row>
    <row r="292" spans="1:7" ht="12.75" hidden="1">
      <c r="A292" s="29">
        <f t="shared" si="33"/>
        <v>272</v>
      </c>
      <c r="B292" s="173">
        <f t="shared" si="34"/>
        <v>0</v>
      </c>
      <c r="C292" s="173">
        <f t="shared" si="28"/>
        <v>0</v>
      </c>
      <c r="D292" s="173">
        <f t="shared" si="29"/>
        <v>0</v>
      </c>
      <c r="E292" s="174">
        <f t="shared" si="30"/>
        <v>0</v>
      </c>
      <c r="F292" s="173">
        <f t="shared" si="31"/>
        <v>0</v>
      </c>
      <c r="G292" s="158">
        <f t="shared" si="32"/>
        <v>0</v>
      </c>
    </row>
    <row r="293" spans="1:7" ht="12.75" hidden="1">
      <c r="A293" s="29">
        <f t="shared" si="33"/>
        <v>273</v>
      </c>
      <c r="B293" s="173">
        <f t="shared" si="34"/>
        <v>0</v>
      </c>
      <c r="C293" s="173">
        <f t="shared" si="28"/>
        <v>0</v>
      </c>
      <c r="D293" s="173">
        <f t="shared" si="29"/>
        <v>0</v>
      </c>
      <c r="E293" s="174">
        <f t="shared" si="30"/>
        <v>0</v>
      </c>
      <c r="F293" s="173">
        <f t="shared" si="31"/>
        <v>0</v>
      </c>
      <c r="G293" s="158">
        <f t="shared" si="32"/>
        <v>0</v>
      </c>
    </row>
    <row r="294" spans="1:7" ht="12.75" hidden="1">
      <c r="A294" s="29">
        <f t="shared" si="33"/>
        <v>274</v>
      </c>
      <c r="B294" s="173">
        <f t="shared" si="34"/>
        <v>0</v>
      </c>
      <c r="C294" s="173">
        <f t="shared" si="28"/>
        <v>0</v>
      </c>
      <c r="D294" s="173">
        <f t="shared" si="29"/>
        <v>0</v>
      </c>
      <c r="E294" s="174">
        <f t="shared" si="30"/>
        <v>0</v>
      </c>
      <c r="F294" s="173">
        <f t="shared" si="31"/>
        <v>0</v>
      </c>
      <c r="G294" s="158">
        <f t="shared" si="32"/>
        <v>0</v>
      </c>
    </row>
    <row r="295" spans="1:7" ht="12.75" hidden="1">
      <c r="A295" s="29">
        <f t="shared" si="33"/>
        <v>275</v>
      </c>
      <c r="B295" s="173">
        <f t="shared" si="34"/>
        <v>0</v>
      </c>
      <c r="C295" s="173">
        <f t="shared" si="28"/>
        <v>0</v>
      </c>
      <c r="D295" s="173">
        <f t="shared" si="29"/>
        <v>0</v>
      </c>
      <c r="E295" s="174">
        <f t="shared" si="30"/>
        <v>0</v>
      </c>
      <c r="F295" s="173">
        <f t="shared" si="31"/>
        <v>0</v>
      </c>
      <c r="G295" s="158">
        <f t="shared" si="32"/>
        <v>0</v>
      </c>
    </row>
    <row r="296" spans="1:7" ht="12.75" hidden="1">
      <c r="A296" s="29">
        <f t="shared" si="33"/>
        <v>276</v>
      </c>
      <c r="B296" s="173">
        <f t="shared" si="34"/>
        <v>0</v>
      </c>
      <c r="C296" s="173">
        <f t="shared" si="28"/>
        <v>0</v>
      </c>
      <c r="D296" s="173">
        <f t="shared" si="29"/>
        <v>0</v>
      </c>
      <c r="E296" s="174">
        <f t="shared" si="30"/>
        <v>0</v>
      </c>
      <c r="F296" s="173">
        <f t="shared" si="31"/>
        <v>0</v>
      </c>
      <c r="G296" s="158">
        <f t="shared" si="32"/>
        <v>0</v>
      </c>
    </row>
    <row r="297" spans="1:7" ht="12.75" hidden="1">
      <c r="A297" s="29">
        <f t="shared" si="33"/>
        <v>277</v>
      </c>
      <c r="B297" s="173">
        <f t="shared" si="34"/>
        <v>0</v>
      </c>
      <c r="C297" s="173">
        <f t="shared" si="28"/>
        <v>0</v>
      </c>
      <c r="D297" s="173">
        <f t="shared" si="29"/>
        <v>0</v>
      </c>
      <c r="E297" s="174">
        <f t="shared" si="30"/>
        <v>0</v>
      </c>
      <c r="F297" s="173">
        <f t="shared" si="31"/>
        <v>0</v>
      </c>
      <c r="G297" s="158">
        <f t="shared" si="32"/>
        <v>0</v>
      </c>
    </row>
    <row r="298" spans="1:7" ht="12.75" hidden="1">
      <c r="A298" s="29">
        <f t="shared" si="33"/>
        <v>278</v>
      </c>
      <c r="B298" s="173">
        <f t="shared" si="34"/>
        <v>0</v>
      </c>
      <c r="C298" s="173">
        <f t="shared" si="28"/>
        <v>0</v>
      </c>
      <c r="D298" s="173">
        <f t="shared" si="29"/>
        <v>0</v>
      </c>
      <c r="E298" s="174">
        <f t="shared" si="30"/>
        <v>0</v>
      </c>
      <c r="F298" s="173">
        <f t="shared" si="31"/>
        <v>0</v>
      </c>
      <c r="G298" s="158">
        <f t="shared" si="32"/>
        <v>0</v>
      </c>
    </row>
    <row r="299" spans="1:7" ht="12.75" hidden="1">
      <c r="A299" s="29">
        <f t="shared" si="33"/>
        <v>279</v>
      </c>
      <c r="B299" s="173">
        <f t="shared" si="34"/>
        <v>0</v>
      </c>
      <c r="C299" s="173">
        <f t="shared" si="28"/>
        <v>0</v>
      </c>
      <c r="D299" s="173">
        <f t="shared" si="29"/>
        <v>0</v>
      </c>
      <c r="E299" s="174">
        <f t="shared" si="30"/>
        <v>0</v>
      </c>
      <c r="F299" s="173">
        <f t="shared" si="31"/>
        <v>0</v>
      </c>
      <c r="G299" s="158">
        <f t="shared" si="32"/>
        <v>0</v>
      </c>
    </row>
    <row r="300" spans="1:7" ht="12.75" hidden="1">
      <c r="A300" s="29">
        <f t="shared" si="33"/>
        <v>280</v>
      </c>
      <c r="B300" s="173">
        <f t="shared" si="34"/>
        <v>0</v>
      </c>
      <c r="C300" s="173">
        <f t="shared" si="28"/>
        <v>0</v>
      </c>
      <c r="D300" s="173">
        <f t="shared" si="29"/>
        <v>0</v>
      </c>
      <c r="E300" s="174">
        <f t="shared" si="30"/>
        <v>0</v>
      </c>
      <c r="F300" s="173">
        <f t="shared" si="31"/>
        <v>0</v>
      </c>
      <c r="G300" s="158">
        <f t="shared" si="32"/>
        <v>0</v>
      </c>
    </row>
    <row r="301" spans="1:7" ht="12.75" hidden="1">
      <c r="A301" s="29">
        <f t="shared" si="33"/>
        <v>281</v>
      </c>
      <c r="B301" s="173">
        <f t="shared" si="34"/>
        <v>0</v>
      </c>
      <c r="C301" s="173">
        <f t="shared" si="28"/>
        <v>0</v>
      </c>
      <c r="D301" s="173">
        <f t="shared" si="29"/>
        <v>0</v>
      </c>
      <c r="E301" s="174">
        <f t="shared" si="30"/>
        <v>0</v>
      </c>
      <c r="F301" s="173">
        <f t="shared" si="31"/>
        <v>0</v>
      </c>
      <c r="G301" s="158">
        <f t="shared" si="32"/>
        <v>0</v>
      </c>
    </row>
    <row r="302" spans="1:7" ht="12.75" hidden="1">
      <c r="A302" s="29">
        <f t="shared" si="33"/>
        <v>282</v>
      </c>
      <c r="B302" s="173">
        <f t="shared" si="34"/>
        <v>0</v>
      </c>
      <c r="C302" s="173">
        <f t="shared" si="28"/>
        <v>0</v>
      </c>
      <c r="D302" s="173">
        <f t="shared" si="29"/>
        <v>0</v>
      </c>
      <c r="E302" s="174">
        <f t="shared" si="30"/>
        <v>0</v>
      </c>
      <c r="F302" s="173">
        <f t="shared" si="31"/>
        <v>0</v>
      </c>
      <c r="G302" s="158">
        <f t="shared" si="32"/>
        <v>0</v>
      </c>
    </row>
    <row r="303" spans="1:7" ht="12.75" hidden="1">
      <c r="A303" s="29">
        <f t="shared" si="33"/>
        <v>283</v>
      </c>
      <c r="B303" s="173">
        <f t="shared" si="34"/>
        <v>0</v>
      </c>
      <c r="C303" s="173">
        <f t="shared" si="28"/>
        <v>0</v>
      </c>
      <c r="D303" s="173">
        <f t="shared" si="29"/>
        <v>0</v>
      </c>
      <c r="E303" s="174">
        <f t="shared" si="30"/>
        <v>0</v>
      </c>
      <c r="F303" s="173">
        <f t="shared" si="31"/>
        <v>0</v>
      </c>
      <c r="G303" s="158">
        <f t="shared" si="32"/>
        <v>0</v>
      </c>
    </row>
    <row r="304" spans="1:7" ht="12.75" hidden="1">
      <c r="A304" s="29">
        <f t="shared" si="33"/>
        <v>284</v>
      </c>
      <c r="B304" s="173">
        <f t="shared" si="34"/>
        <v>0</v>
      </c>
      <c r="C304" s="173">
        <f t="shared" si="28"/>
        <v>0</v>
      </c>
      <c r="D304" s="173">
        <f t="shared" si="29"/>
        <v>0</v>
      </c>
      <c r="E304" s="174">
        <f t="shared" si="30"/>
        <v>0</v>
      </c>
      <c r="F304" s="173">
        <f t="shared" si="31"/>
        <v>0</v>
      </c>
      <c r="G304" s="158">
        <f t="shared" si="32"/>
        <v>0</v>
      </c>
    </row>
    <row r="305" spans="1:7" ht="12.75" hidden="1">
      <c r="A305" s="29">
        <f t="shared" si="33"/>
        <v>285</v>
      </c>
      <c r="B305" s="173">
        <f t="shared" si="34"/>
        <v>0</v>
      </c>
      <c r="C305" s="173">
        <f t="shared" si="28"/>
        <v>0</v>
      </c>
      <c r="D305" s="173">
        <f t="shared" si="29"/>
        <v>0</v>
      </c>
      <c r="E305" s="174">
        <f t="shared" si="30"/>
        <v>0</v>
      </c>
      <c r="F305" s="173">
        <f t="shared" si="31"/>
        <v>0</v>
      </c>
      <c r="G305" s="158">
        <f t="shared" si="32"/>
        <v>0</v>
      </c>
    </row>
    <row r="306" spans="1:7" ht="12.75" hidden="1">
      <c r="A306" s="29">
        <f t="shared" si="33"/>
        <v>286</v>
      </c>
      <c r="B306" s="173">
        <f t="shared" si="34"/>
        <v>0</v>
      </c>
      <c r="C306" s="173">
        <f t="shared" si="28"/>
        <v>0</v>
      </c>
      <c r="D306" s="173">
        <f t="shared" si="29"/>
        <v>0</v>
      </c>
      <c r="E306" s="174">
        <f t="shared" si="30"/>
        <v>0</v>
      </c>
      <c r="F306" s="173">
        <f t="shared" si="31"/>
        <v>0</v>
      </c>
      <c r="G306" s="158">
        <f t="shared" si="32"/>
        <v>0</v>
      </c>
    </row>
    <row r="307" spans="1:7" ht="12.75" hidden="1">
      <c r="A307" s="29">
        <f t="shared" si="33"/>
        <v>287</v>
      </c>
      <c r="B307" s="173">
        <f t="shared" si="34"/>
        <v>0</v>
      </c>
      <c r="C307" s="173">
        <f t="shared" si="28"/>
        <v>0</v>
      </c>
      <c r="D307" s="173">
        <f t="shared" si="29"/>
        <v>0</v>
      </c>
      <c r="E307" s="174">
        <f t="shared" si="30"/>
        <v>0</v>
      </c>
      <c r="F307" s="173">
        <f t="shared" si="31"/>
        <v>0</v>
      </c>
      <c r="G307" s="158">
        <f t="shared" si="32"/>
        <v>0</v>
      </c>
    </row>
    <row r="308" spans="1:7" ht="12.75" hidden="1">
      <c r="A308" s="29">
        <f t="shared" si="33"/>
        <v>288</v>
      </c>
      <c r="B308" s="173">
        <f t="shared" si="34"/>
        <v>0</v>
      </c>
      <c r="C308" s="173">
        <f t="shared" si="28"/>
        <v>0</v>
      </c>
      <c r="D308" s="173">
        <f t="shared" si="29"/>
        <v>0</v>
      </c>
      <c r="E308" s="174">
        <f t="shared" si="30"/>
        <v>0</v>
      </c>
      <c r="F308" s="173">
        <f t="shared" si="31"/>
        <v>0</v>
      </c>
      <c r="G308" s="158">
        <f t="shared" si="32"/>
        <v>0</v>
      </c>
    </row>
    <row r="309" spans="1:7" ht="12.75" hidden="1">
      <c r="A309" s="29">
        <f t="shared" si="33"/>
        <v>289</v>
      </c>
      <c r="B309" s="173">
        <f t="shared" si="34"/>
        <v>0</v>
      </c>
      <c r="C309" s="173">
        <f t="shared" si="28"/>
        <v>0</v>
      </c>
      <c r="D309" s="173">
        <f t="shared" si="29"/>
        <v>0</v>
      </c>
      <c r="E309" s="174">
        <f t="shared" si="30"/>
        <v>0</v>
      </c>
      <c r="F309" s="173">
        <f t="shared" si="31"/>
        <v>0</v>
      </c>
      <c r="G309" s="158">
        <f t="shared" si="32"/>
        <v>0</v>
      </c>
    </row>
    <row r="310" spans="1:7" ht="12.75" hidden="1">
      <c r="A310" s="29">
        <f t="shared" si="33"/>
        <v>290</v>
      </c>
      <c r="B310" s="173">
        <f t="shared" si="34"/>
        <v>0</v>
      </c>
      <c r="C310" s="173">
        <f t="shared" si="28"/>
        <v>0</v>
      </c>
      <c r="D310" s="173">
        <f t="shared" si="29"/>
        <v>0</v>
      </c>
      <c r="E310" s="174">
        <f t="shared" si="30"/>
        <v>0</v>
      </c>
      <c r="F310" s="173">
        <f t="shared" si="31"/>
        <v>0</v>
      </c>
      <c r="G310" s="158">
        <f t="shared" si="32"/>
        <v>0</v>
      </c>
    </row>
    <row r="311" spans="1:7" ht="12.75" hidden="1">
      <c r="A311" s="29">
        <f t="shared" si="33"/>
        <v>291</v>
      </c>
      <c r="B311" s="173">
        <f t="shared" si="34"/>
        <v>0</v>
      </c>
      <c r="C311" s="173">
        <f t="shared" si="28"/>
        <v>0</v>
      </c>
      <c r="D311" s="173">
        <f t="shared" si="29"/>
        <v>0</v>
      </c>
      <c r="E311" s="174">
        <f t="shared" si="30"/>
        <v>0</v>
      </c>
      <c r="F311" s="173">
        <f t="shared" si="31"/>
        <v>0</v>
      </c>
      <c r="G311" s="158">
        <f t="shared" si="32"/>
        <v>0</v>
      </c>
    </row>
    <row r="312" spans="1:7" ht="12.75" hidden="1">
      <c r="A312" s="29">
        <f t="shared" si="33"/>
        <v>292</v>
      </c>
      <c r="B312" s="173">
        <f t="shared" si="34"/>
        <v>0</v>
      </c>
      <c r="C312" s="173">
        <f t="shared" si="28"/>
        <v>0</v>
      </c>
      <c r="D312" s="173">
        <f t="shared" si="29"/>
        <v>0</v>
      </c>
      <c r="E312" s="174">
        <f t="shared" si="30"/>
        <v>0</v>
      </c>
      <c r="F312" s="173">
        <f t="shared" si="31"/>
        <v>0</v>
      </c>
      <c r="G312" s="158">
        <f t="shared" si="32"/>
        <v>0</v>
      </c>
    </row>
    <row r="313" spans="1:7" ht="12.75" hidden="1">
      <c r="A313" s="29">
        <f t="shared" si="33"/>
        <v>293</v>
      </c>
      <c r="B313" s="173">
        <f t="shared" si="34"/>
        <v>0</v>
      </c>
      <c r="C313" s="173">
        <f t="shared" si="28"/>
        <v>0</v>
      </c>
      <c r="D313" s="173">
        <f t="shared" si="29"/>
        <v>0</v>
      </c>
      <c r="E313" s="174">
        <f t="shared" si="30"/>
        <v>0</v>
      </c>
      <c r="F313" s="173">
        <f t="shared" si="31"/>
        <v>0</v>
      </c>
      <c r="G313" s="158">
        <f t="shared" si="32"/>
        <v>0</v>
      </c>
    </row>
    <row r="314" spans="1:7" ht="12.75" hidden="1">
      <c r="A314" s="29">
        <f t="shared" si="33"/>
        <v>294</v>
      </c>
      <c r="B314" s="173">
        <f t="shared" si="34"/>
        <v>0</v>
      </c>
      <c r="C314" s="173">
        <f t="shared" si="28"/>
        <v>0</v>
      </c>
      <c r="D314" s="173">
        <f t="shared" si="29"/>
        <v>0</v>
      </c>
      <c r="E314" s="174">
        <f t="shared" si="30"/>
        <v>0</v>
      </c>
      <c r="F314" s="173">
        <f t="shared" si="31"/>
        <v>0</v>
      </c>
      <c r="G314" s="158">
        <f t="shared" si="32"/>
        <v>0</v>
      </c>
    </row>
    <row r="315" spans="1:7" ht="12.75" hidden="1">
      <c r="A315" s="29">
        <f t="shared" si="33"/>
        <v>295</v>
      </c>
      <c r="B315" s="173">
        <f t="shared" si="34"/>
        <v>0</v>
      </c>
      <c r="C315" s="173">
        <f t="shared" si="28"/>
        <v>0</v>
      </c>
      <c r="D315" s="173">
        <f t="shared" si="29"/>
        <v>0</v>
      </c>
      <c r="E315" s="174">
        <f t="shared" si="30"/>
        <v>0</v>
      </c>
      <c r="F315" s="173">
        <f t="shared" si="31"/>
        <v>0</v>
      </c>
      <c r="G315" s="158">
        <f t="shared" si="32"/>
        <v>0</v>
      </c>
    </row>
    <row r="316" spans="1:7" ht="12.75" hidden="1">
      <c r="A316" s="29">
        <f t="shared" si="33"/>
        <v>296</v>
      </c>
      <c r="B316" s="173">
        <f t="shared" si="34"/>
        <v>0</v>
      </c>
      <c r="C316" s="173">
        <f t="shared" si="28"/>
        <v>0</v>
      </c>
      <c r="D316" s="173">
        <f t="shared" si="29"/>
        <v>0</v>
      </c>
      <c r="E316" s="174">
        <f t="shared" si="30"/>
        <v>0</v>
      </c>
      <c r="F316" s="173">
        <f t="shared" si="31"/>
        <v>0</v>
      </c>
      <c r="G316" s="158">
        <f t="shared" si="32"/>
        <v>0</v>
      </c>
    </row>
    <row r="317" spans="1:7" ht="12.75" hidden="1">
      <c r="A317" s="29">
        <f t="shared" si="33"/>
        <v>297</v>
      </c>
      <c r="B317" s="173">
        <f t="shared" si="34"/>
        <v>0</v>
      </c>
      <c r="C317" s="173">
        <f t="shared" si="28"/>
        <v>0</v>
      </c>
      <c r="D317" s="173">
        <f t="shared" si="29"/>
        <v>0</v>
      </c>
      <c r="E317" s="174">
        <f t="shared" si="30"/>
        <v>0</v>
      </c>
      <c r="F317" s="173">
        <f t="shared" si="31"/>
        <v>0</v>
      </c>
      <c r="G317" s="158">
        <f t="shared" si="32"/>
        <v>0</v>
      </c>
    </row>
    <row r="318" spans="1:7" ht="12.75" hidden="1">
      <c r="A318" s="29">
        <f t="shared" si="33"/>
        <v>298</v>
      </c>
      <c r="B318" s="173">
        <f t="shared" si="34"/>
        <v>0</v>
      </c>
      <c r="C318" s="173">
        <f t="shared" si="28"/>
        <v>0</v>
      </c>
      <c r="D318" s="173">
        <f t="shared" si="29"/>
        <v>0</v>
      </c>
      <c r="E318" s="174">
        <f t="shared" si="30"/>
        <v>0</v>
      </c>
      <c r="F318" s="173">
        <f t="shared" si="31"/>
        <v>0</v>
      </c>
      <c r="G318" s="158">
        <f t="shared" si="32"/>
        <v>0</v>
      </c>
    </row>
    <row r="319" spans="1:7" ht="12.75" hidden="1">
      <c r="A319" s="29">
        <f t="shared" si="33"/>
        <v>299</v>
      </c>
      <c r="B319" s="173">
        <f t="shared" si="34"/>
        <v>0</v>
      </c>
      <c r="C319" s="173">
        <f t="shared" si="28"/>
        <v>0</v>
      </c>
      <c r="D319" s="173">
        <f t="shared" si="29"/>
        <v>0</v>
      </c>
      <c r="E319" s="174">
        <f t="shared" si="30"/>
        <v>0</v>
      </c>
      <c r="F319" s="173">
        <f t="shared" si="31"/>
        <v>0</v>
      </c>
      <c r="G319" s="158">
        <f t="shared" si="32"/>
        <v>0</v>
      </c>
    </row>
    <row r="320" spans="1:7" ht="12.75" hidden="1">
      <c r="A320" s="29">
        <f t="shared" si="33"/>
        <v>300</v>
      </c>
      <c r="B320" s="173">
        <f t="shared" si="34"/>
        <v>0</v>
      </c>
      <c r="C320" s="173">
        <f t="shared" si="28"/>
        <v>0</v>
      </c>
      <c r="D320" s="173">
        <f t="shared" si="29"/>
        <v>0</v>
      </c>
      <c r="E320" s="174">
        <f t="shared" si="30"/>
        <v>0</v>
      </c>
      <c r="F320" s="173">
        <f t="shared" si="31"/>
        <v>0</v>
      </c>
      <c r="G320" s="158">
        <f t="shared" si="32"/>
        <v>0</v>
      </c>
    </row>
    <row r="321" spans="1:7" ht="12.75" hidden="1">
      <c r="A321" s="29">
        <f t="shared" si="33"/>
        <v>301</v>
      </c>
      <c r="B321" s="173">
        <f t="shared" si="34"/>
        <v>0</v>
      </c>
      <c r="C321" s="173">
        <f t="shared" si="28"/>
        <v>0</v>
      </c>
      <c r="D321" s="173">
        <f t="shared" si="29"/>
        <v>0</v>
      </c>
      <c r="E321" s="174">
        <f t="shared" si="30"/>
        <v>0</v>
      </c>
      <c r="F321" s="173">
        <f t="shared" si="31"/>
        <v>0</v>
      </c>
      <c r="G321" s="158">
        <f t="shared" si="32"/>
        <v>0</v>
      </c>
    </row>
    <row r="322" spans="1:7" ht="12.75" hidden="1">
      <c r="A322" s="29">
        <f t="shared" si="33"/>
        <v>302</v>
      </c>
      <c r="B322" s="173">
        <f t="shared" si="34"/>
        <v>0</v>
      </c>
      <c r="C322" s="173">
        <f t="shared" si="28"/>
        <v>0</v>
      </c>
      <c r="D322" s="173">
        <f t="shared" si="29"/>
        <v>0</v>
      </c>
      <c r="E322" s="174">
        <f t="shared" si="30"/>
        <v>0</v>
      </c>
      <c r="F322" s="173">
        <f t="shared" si="31"/>
        <v>0</v>
      </c>
      <c r="G322" s="158">
        <f t="shared" si="32"/>
        <v>0</v>
      </c>
    </row>
    <row r="323" spans="1:7" ht="12.75" hidden="1">
      <c r="A323" s="29">
        <f t="shared" si="33"/>
        <v>303</v>
      </c>
      <c r="B323" s="173">
        <f t="shared" si="34"/>
        <v>0</v>
      </c>
      <c r="C323" s="173">
        <f t="shared" si="28"/>
        <v>0</v>
      </c>
      <c r="D323" s="173">
        <f t="shared" si="29"/>
        <v>0</v>
      </c>
      <c r="E323" s="174">
        <f t="shared" si="30"/>
        <v>0</v>
      </c>
      <c r="F323" s="173">
        <f t="shared" si="31"/>
        <v>0</v>
      </c>
      <c r="G323" s="158">
        <f t="shared" si="32"/>
        <v>0</v>
      </c>
    </row>
    <row r="324" spans="1:7" ht="12.75" hidden="1">
      <c r="A324" s="29">
        <f t="shared" si="33"/>
        <v>304</v>
      </c>
      <c r="B324" s="173">
        <f t="shared" si="34"/>
        <v>0</v>
      </c>
      <c r="C324" s="173">
        <f t="shared" si="28"/>
        <v>0</v>
      </c>
      <c r="D324" s="173">
        <f t="shared" si="29"/>
        <v>0</v>
      </c>
      <c r="E324" s="174">
        <f t="shared" si="30"/>
        <v>0</v>
      </c>
      <c r="F324" s="173">
        <f t="shared" si="31"/>
        <v>0</v>
      </c>
      <c r="G324" s="158">
        <f t="shared" si="32"/>
        <v>0</v>
      </c>
    </row>
    <row r="325" spans="1:7" ht="12.75" hidden="1">
      <c r="A325" s="29">
        <f t="shared" si="33"/>
        <v>305</v>
      </c>
      <c r="B325" s="173">
        <f t="shared" si="34"/>
        <v>0</v>
      </c>
      <c r="C325" s="173">
        <f t="shared" si="28"/>
        <v>0</v>
      </c>
      <c r="D325" s="173">
        <f t="shared" si="29"/>
        <v>0</v>
      </c>
      <c r="E325" s="174">
        <f t="shared" si="30"/>
        <v>0</v>
      </c>
      <c r="F325" s="173">
        <f t="shared" si="31"/>
        <v>0</v>
      </c>
      <c r="G325" s="158">
        <f t="shared" si="32"/>
        <v>0</v>
      </c>
    </row>
    <row r="326" spans="1:7" ht="12.75" hidden="1">
      <c r="A326" s="29">
        <f t="shared" si="33"/>
        <v>306</v>
      </c>
      <c r="B326" s="173">
        <f t="shared" si="34"/>
        <v>0</v>
      </c>
      <c r="C326" s="173">
        <f t="shared" si="28"/>
        <v>0</v>
      </c>
      <c r="D326" s="173">
        <f t="shared" si="29"/>
        <v>0</v>
      </c>
      <c r="E326" s="174">
        <f t="shared" si="30"/>
        <v>0</v>
      </c>
      <c r="F326" s="173">
        <f t="shared" si="31"/>
        <v>0</v>
      </c>
      <c r="G326" s="158">
        <f t="shared" si="32"/>
        <v>0</v>
      </c>
    </row>
    <row r="327" spans="1:7" ht="12.75" hidden="1">
      <c r="A327" s="29">
        <f t="shared" si="33"/>
        <v>307</v>
      </c>
      <c r="B327" s="173">
        <f t="shared" si="34"/>
        <v>0</v>
      </c>
      <c r="C327" s="173">
        <f t="shared" si="28"/>
        <v>0</v>
      </c>
      <c r="D327" s="173">
        <f t="shared" si="29"/>
        <v>0</v>
      </c>
      <c r="E327" s="174">
        <f t="shared" si="30"/>
        <v>0</v>
      </c>
      <c r="F327" s="173">
        <f t="shared" si="31"/>
        <v>0</v>
      </c>
      <c r="G327" s="158">
        <f t="shared" si="32"/>
        <v>0</v>
      </c>
    </row>
    <row r="328" spans="1:7" ht="12.75" hidden="1">
      <c r="A328" s="29">
        <f t="shared" si="33"/>
        <v>308</v>
      </c>
      <c r="B328" s="173">
        <f t="shared" si="34"/>
        <v>0</v>
      </c>
      <c r="C328" s="173">
        <f t="shared" si="28"/>
        <v>0</v>
      </c>
      <c r="D328" s="173">
        <f t="shared" si="29"/>
        <v>0</v>
      </c>
      <c r="E328" s="174">
        <f t="shared" si="30"/>
        <v>0</v>
      </c>
      <c r="F328" s="173">
        <f t="shared" si="31"/>
        <v>0</v>
      </c>
      <c r="G328" s="158">
        <f t="shared" si="32"/>
        <v>0</v>
      </c>
    </row>
    <row r="329" spans="1:7" ht="12.75" hidden="1">
      <c r="A329" s="29">
        <f t="shared" si="33"/>
        <v>309</v>
      </c>
      <c r="B329" s="173">
        <f t="shared" si="34"/>
        <v>0</v>
      </c>
      <c r="C329" s="173">
        <f t="shared" si="28"/>
        <v>0</v>
      </c>
      <c r="D329" s="173">
        <f t="shared" si="29"/>
        <v>0</v>
      </c>
      <c r="E329" s="174">
        <f t="shared" si="30"/>
        <v>0</v>
      </c>
      <c r="F329" s="173">
        <f t="shared" si="31"/>
        <v>0</v>
      </c>
      <c r="G329" s="158">
        <f t="shared" si="32"/>
        <v>0</v>
      </c>
    </row>
    <row r="330" spans="1:7" ht="12.75" hidden="1">
      <c r="A330" s="29">
        <f t="shared" si="33"/>
        <v>310</v>
      </c>
      <c r="B330" s="173">
        <f t="shared" si="34"/>
        <v>0</v>
      </c>
      <c r="C330" s="173">
        <f t="shared" si="28"/>
        <v>0</v>
      </c>
      <c r="D330" s="173">
        <f t="shared" si="29"/>
        <v>0</v>
      </c>
      <c r="E330" s="174">
        <f t="shared" si="30"/>
        <v>0</v>
      </c>
      <c r="F330" s="173">
        <f t="shared" si="31"/>
        <v>0</v>
      </c>
      <c r="G330" s="158">
        <f t="shared" si="32"/>
        <v>0</v>
      </c>
    </row>
    <row r="331" spans="1:7" ht="12.75" hidden="1">
      <c r="A331" s="29">
        <f t="shared" si="33"/>
        <v>311</v>
      </c>
      <c r="B331" s="173">
        <f t="shared" si="34"/>
        <v>0</v>
      </c>
      <c r="C331" s="173">
        <f t="shared" si="28"/>
        <v>0</v>
      </c>
      <c r="D331" s="173">
        <f t="shared" si="29"/>
        <v>0</v>
      </c>
      <c r="E331" s="174">
        <f t="shared" si="30"/>
        <v>0</v>
      </c>
      <c r="F331" s="173">
        <f t="shared" si="31"/>
        <v>0</v>
      </c>
      <c r="G331" s="158">
        <f t="shared" si="32"/>
        <v>0</v>
      </c>
    </row>
    <row r="332" spans="1:7" ht="12.75" hidden="1">
      <c r="A332" s="29">
        <f t="shared" si="33"/>
        <v>312</v>
      </c>
      <c r="B332" s="173">
        <f t="shared" si="34"/>
        <v>0</v>
      </c>
      <c r="C332" s="173">
        <f t="shared" si="28"/>
        <v>0</v>
      </c>
      <c r="D332" s="173">
        <f t="shared" si="29"/>
        <v>0</v>
      </c>
      <c r="E332" s="174">
        <f t="shared" si="30"/>
        <v>0</v>
      </c>
      <c r="F332" s="173">
        <f t="shared" si="31"/>
        <v>0</v>
      </c>
      <c r="G332" s="158">
        <f t="shared" si="32"/>
        <v>0</v>
      </c>
    </row>
    <row r="333" spans="1:7" ht="12.75" hidden="1">
      <c r="A333" s="29">
        <f t="shared" si="33"/>
        <v>313</v>
      </c>
      <c r="B333" s="173">
        <f t="shared" si="34"/>
        <v>0</v>
      </c>
      <c r="C333" s="173">
        <f t="shared" si="28"/>
        <v>0</v>
      </c>
      <c r="D333" s="173">
        <f t="shared" si="29"/>
        <v>0</v>
      </c>
      <c r="E333" s="174">
        <f t="shared" si="30"/>
        <v>0</v>
      </c>
      <c r="F333" s="173">
        <f t="shared" si="31"/>
        <v>0</v>
      </c>
      <c r="G333" s="158">
        <f t="shared" si="32"/>
        <v>0</v>
      </c>
    </row>
    <row r="334" spans="1:7" ht="12.75" hidden="1">
      <c r="A334" s="29">
        <f t="shared" si="33"/>
        <v>314</v>
      </c>
      <c r="B334" s="173">
        <f t="shared" si="34"/>
        <v>0</v>
      </c>
      <c r="C334" s="173">
        <f t="shared" si="28"/>
        <v>0</v>
      </c>
      <c r="D334" s="173">
        <f t="shared" si="29"/>
        <v>0</v>
      </c>
      <c r="E334" s="174">
        <f t="shared" si="30"/>
        <v>0</v>
      </c>
      <c r="F334" s="173">
        <f t="shared" si="31"/>
        <v>0</v>
      </c>
      <c r="G334" s="158">
        <f t="shared" si="32"/>
        <v>0</v>
      </c>
    </row>
    <row r="335" spans="1:7" ht="12.75" hidden="1">
      <c r="A335" s="29">
        <f t="shared" si="33"/>
        <v>315</v>
      </c>
      <c r="B335" s="173">
        <f t="shared" si="34"/>
        <v>0</v>
      </c>
      <c r="C335" s="173">
        <f t="shared" si="28"/>
        <v>0</v>
      </c>
      <c r="D335" s="173">
        <f t="shared" si="29"/>
        <v>0</v>
      </c>
      <c r="E335" s="174">
        <f t="shared" si="30"/>
        <v>0</v>
      </c>
      <c r="F335" s="173">
        <f t="shared" si="31"/>
        <v>0</v>
      </c>
      <c r="G335" s="158">
        <f t="shared" si="32"/>
        <v>0</v>
      </c>
    </row>
    <row r="336" spans="1:7" ht="12.75" hidden="1">
      <c r="A336" s="29">
        <f t="shared" si="33"/>
        <v>316</v>
      </c>
      <c r="B336" s="173">
        <f t="shared" si="34"/>
        <v>0</v>
      </c>
      <c r="C336" s="173">
        <f t="shared" si="28"/>
        <v>0</v>
      </c>
      <c r="D336" s="173">
        <f t="shared" si="29"/>
        <v>0</v>
      </c>
      <c r="E336" s="174">
        <f t="shared" si="30"/>
        <v>0</v>
      </c>
      <c r="F336" s="173">
        <f t="shared" si="31"/>
        <v>0</v>
      </c>
      <c r="G336" s="158">
        <f t="shared" si="32"/>
        <v>0</v>
      </c>
    </row>
    <row r="337" spans="1:7" ht="12.75" hidden="1">
      <c r="A337" s="29">
        <f t="shared" si="33"/>
        <v>317</v>
      </c>
      <c r="B337" s="173">
        <f t="shared" si="34"/>
        <v>0</v>
      </c>
      <c r="C337" s="173">
        <f t="shared" si="28"/>
        <v>0</v>
      </c>
      <c r="D337" s="173">
        <f t="shared" si="29"/>
        <v>0</v>
      </c>
      <c r="E337" s="174">
        <f t="shared" si="30"/>
        <v>0</v>
      </c>
      <c r="F337" s="173">
        <f t="shared" si="31"/>
        <v>0</v>
      </c>
      <c r="G337" s="158">
        <f t="shared" si="32"/>
        <v>0</v>
      </c>
    </row>
    <row r="338" spans="1:7" ht="12.75" hidden="1">
      <c r="A338" s="29">
        <f t="shared" si="33"/>
        <v>318</v>
      </c>
      <c r="B338" s="173">
        <f t="shared" si="34"/>
        <v>0</v>
      </c>
      <c r="C338" s="173">
        <f t="shared" si="28"/>
        <v>0</v>
      </c>
      <c r="D338" s="173">
        <f t="shared" si="29"/>
        <v>0</v>
      </c>
      <c r="E338" s="174">
        <f t="shared" si="30"/>
        <v>0</v>
      </c>
      <c r="F338" s="173">
        <f t="shared" si="31"/>
        <v>0</v>
      </c>
      <c r="G338" s="158">
        <f t="shared" si="32"/>
        <v>0</v>
      </c>
    </row>
    <row r="339" spans="1:7" ht="12.75" hidden="1">
      <c r="A339" s="29">
        <f t="shared" si="33"/>
        <v>319</v>
      </c>
      <c r="B339" s="173">
        <f t="shared" si="34"/>
        <v>0</v>
      </c>
      <c r="C339" s="173">
        <f t="shared" si="28"/>
        <v>0</v>
      </c>
      <c r="D339" s="173">
        <f t="shared" si="29"/>
        <v>0</v>
      </c>
      <c r="E339" s="174">
        <f t="shared" si="30"/>
        <v>0</v>
      </c>
      <c r="F339" s="173">
        <f t="shared" si="31"/>
        <v>0</v>
      </c>
      <c r="G339" s="158">
        <f t="shared" si="32"/>
        <v>0</v>
      </c>
    </row>
    <row r="340" spans="1:7" ht="12.75" hidden="1">
      <c r="A340" s="29">
        <f t="shared" si="33"/>
        <v>320</v>
      </c>
      <c r="B340" s="173">
        <f t="shared" si="34"/>
        <v>0</v>
      </c>
      <c r="C340" s="173">
        <f t="shared" si="28"/>
        <v>0</v>
      </c>
      <c r="D340" s="173">
        <f t="shared" si="29"/>
        <v>0</v>
      </c>
      <c r="E340" s="174">
        <f t="shared" si="30"/>
        <v>0</v>
      </c>
      <c r="F340" s="173">
        <f t="shared" si="31"/>
        <v>0</v>
      </c>
      <c r="G340" s="158">
        <f t="shared" si="32"/>
        <v>0</v>
      </c>
    </row>
    <row r="341" spans="1:7" ht="12.75" hidden="1">
      <c r="A341" s="29">
        <f t="shared" si="33"/>
        <v>321</v>
      </c>
      <c r="B341" s="173">
        <f t="shared" si="34"/>
        <v>0</v>
      </c>
      <c r="C341" s="173">
        <f aca="true" t="shared" si="35" ref="C341:C380">IF(A341&lt;=$D$9,$D$14*-1,0)</f>
        <v>0</v>
      </c>
      <c r="D341" s="173">
        <f aca="true" t="shared" si="36" ref="D341:D380">IF(A341&gt;$D$9,0,$D$11*-1)</f>
        <v>0</v>
      </c>
      <c r="E341" s="174">
        <f aca="true" t="shared" si="37" ref="E341:E380">B341*$D$10</f>
        <v>0</v>
      </c>
      <c r="F341" s="173">
        <f aca="true" t="shared" si="38" ref="F341:F380">D341-E341</f>
        <v>0</v>
      </c>
      <c r="G341" s="158">
        <f aca="true" t="shared" si="39" ref="G341:G380">B341-F341</f>
        <v>0</v>
      </c>
    </row>
    <row r="342" spans="1:7" ht="12.75" hidden="1">
      <c r="A342" s="29">
        <f aca="true" t="shared" si="40" ref="A342:A380">A341+1</f>
        <v>322</v>
      </c>
      <c r="B342" s="173">
        <f aca="true" t="shared" si="41" ref="B342:B380">IF(A342&lt;=$D$9,G341,0)</f>
        <v>0</v>
      </c>
      <c r="C342" s="173">
        <f t="shared" si="35"/>
        <v>0</v>
      </c>
      <c r="D342" s="173">
        <f t="shared" si="36"/>
        <v>0</v>
      </c>
      <c r="E342" s="174">
        <f t="shared" si="37"/>
        <v>0</v>
      </c>
      <c r="F342" s="173">
        <f t="shared" si="38"/>
        <v>0</v>
      </c>
      <c r="G342" s="158">
        <f t="shared" si="39"/>
        <v>0</v>
      </c>
    </row>
    <row r="343" spans="1:7" ht="12.75" hidden="1">
      <c r="A343" s="29">
        <f t="shared" si="40"/>
        <v>323</v>
      </c>
      <c r="B343" s="173">
        <f t="shared" si="41"/>
        <v>0</v>
      </c>
      <c r="C343" s="173">
        <f t="shared" si="35"/>
        <v>0</v>
      </c>
      <c r="D343" s="173">
        <f t="shared" si="36"/>
        <v>0</v>
      </c>
      <c r="E343" s="174">
        <f t="shared" si="37"/>
        <v>0</v>
      </c>
      <c r="F343" s="173">
        <f t="shared" si="38"/>
        <v>0</v>
      </c>
      <c r="G343" s="158">
        <f t="shared" si="39"/>
        <v>0</v>
      </c>
    </row>
    <row r="344" spans="1:7" ht="12.75" hidden="1">
      <c r="A344" s="29">
        <f t="shared" si="40"/>
        <v>324</v>
      </c>
      <c r="B344" s="173">
        <f t="shared" si="41"/>
        <v>0</v>
      </c>
      <c r="C344" s="173">
        <f t="shared" si="35"/>
        <v>0</v>
      </c>
      <c r="D344" s="173">
        <f t="shared" si="36"/>
        <v>0</v>
      </c>
      <c r="E344" s="174">
        <f t="shared" si="37"/>
        <v>0</v>
      </c>
      <c r="F344" s="173">
        <f t="shared" si="38"/>
        <v>0</v>
      </c>
      <c r="G344" s="158">
        <f t="shared" si="39"/>
        <v>0</v>
      </c>
    </row>
    <row r="345" spans="1:7" ht="12.75" hidden="1">
      <c r="A345" s="29">
        <f t="shared" si="40"/>
        <v>325</v>
      </c>
      <c r="B345" s="173">
        <f t="shared" si="41"/>
        <v>0</v>
      </c>
      <c r="C345" s="173">
        <f t="shared" si="35"/>
        <v>0</v>
      </c>
      <c r="D345" s="173">
        <f t="shared" si="36"/>
        <v>0</v>
      </c>
      <c r="E345" s="174">
        <f t="shared" si="37"/>
        <v>0</v>
      </c>
      <c r="F345" s="173">
        <f t="shared" si="38"/>
        <v>0</v>
      </c>
      <c r="G345" s="158">
        <f t="shared" si="39"/>
        <v>0</v>
      </c>
    </row>
    <row r="346" spans="1:7" ht="12.75" hidden="1">
      <c r="A346" s="29">
        <f t="shared" si="40"/>
        <v>326</v>
      </c>
      <c r="B346" s="173">
        <f t="shared" si="41"/>
        <v>0</v>
      </c>
      <c r="C346" s="173">
        <f t="shared" si="35"/>
        <v>0</v>
      </c>
      <c r="D346" s="173">
        <f t="shared" si="36"/>
        <v>0</v>
      </c>
      <c r="E346" s="174">
        <f t="shared" si="37"/>
        <v>0</v>
      </c>
      <c r="F346" s="173">
        <f t="shared" si="38"/>
        <v>0</v>
      </c>
      <c r="G346" s="158">
        <f t="shared" si="39"/>
        <v>0</v>
      </c>
    </row>
    <row r="347" spans="1:7" ht="12.75" hidden="1">
      <c r="A347" s="29">
        <f t="shared" si="40"/>
        <v>327</v>
      </c>
      <c r="B347" s="173">
        <f t="shared" si="41"/>
        <v>0</v>
      </c>
      <c r="C347" s="173">
        <f t="shared" si="35"/>
        <v>0</v>
      </c>
      <c r="D347" s="173">
        <f t="shared" si="36"/>
        <v>0</v>
      </c>
      <c r="E347" s="174">
        <f t="shared" si="37"/>
        <v>0</v>
      </c>
      <c r="F347" s="173">
        <f t="shared" si="38"/>
        <v>0</v>
      </c>
      <c r="G347" s="158">
        <f t="shared" si="39"/>
        <v>0</v>
      </c>
    </row>
    <row r="348" spans="1:7" ht="12.75" hidden="1">
      <c r="A348" s="29">
        <f t="shared" si="40"/>
        <v>328</v>
      </c>
      <c r="B348" s="173">
        <f t="shared" si="41"/>
        <v>0</v>
      </c>
      <c r="C348" s="173">
        <f t="shared" si="35"/>
        <v>0</v>
      </c>
      <c r="D348" s="173">
        <f t="shared" si="36"/>
        <v>0</v>
      </c>
      <c r="E348" s="174">
        <f t="shared" si="37"/>
        <v>0</v>
      </c>
      <c r="F348" s="173">
        <f t="shared" si="38"/>
        <v>0</v>
      </c>
      <c r="G348" s="158">
        <f t="shared" si="39"/>
        <v>0</v>
      </c>
    </row>
    <row r="349" spans="1:7" ht="12.75" hidden="1">
      <c r="A349" s="29">
        <f t="shared" si="40"/>
        <v>329</v>
      </c>
      <c r="B349" s="173">
        <f t="shared" si="41"/>
        <v>0</v>
      </c>
      <c r="C349" s="173">
        <f t="shared" si="35"/>
        <v>0</v>
      </c>
      <c r="D349" s="173">
        <f t="shared" si="36"/>
        <v>0</v>
      </c>
      <c r="E349" s="174">
        <f t="shared" si="37"/>
        <v>0</v>
      </c>
      <c r="F349" s="173">
        <f t="shared" si="38"/>
        <v>0</v>
      </c>
      <c r="G349" s="158">
        <f t="shared" si="39"/>
        <v>0</v>
      </c>
    </row>
    <row r="350" spans="1:7" ht="12.75" hidden="1">
      <c r="A350" s="29">
        <f t="shared" si="40"/>
        <v>330</v>
      </c>
      <c r="B350" s="173">
        <f t="shared" si="41"/>
        <v>0</v>
      </c>
      <c r="C350" s="173">
        <f t="shared" si="35"/>
        <v>0</v>
      </c>
      <c r="D350" s="173">
        <f t="shared" si="36"/>
        <v>0</v>
      </c>
      <c r="E350" s="174">
        <f t="shared" si="37"/>
        <v>0</v>
      </c>
      <c r="F350" s="173">
        <f t="shared" si="38"/>
        <v>0</v>
      </c>
      <c r="G350" s="158">
        <f t="shared" si="39"/>
        <v>0</v>
      </c>
    </row>
    <row r="351" spans="1:7" ht="12.75" hidden="1">
      <c r="A351" s="29">
        <f t="shared" si="40"/>
        <v>331</v>
      </c>
      <c r="B351" s="173">
        <f t="shared" si="41"/>
        <v>0</v>
      </c>
      <c r="C351" s="173">
        <f t="shared" si="35"/>
        <v>0</v>
      </c>
      <c r="D351" s="173">
        <f t="shared" si="36"/>
        <v>0</v>
      </c>
      <c r="E351" s="174">
        <f t="shared" si="37"/>
        <v>0</v>
      </c>
      <c r="F351" s="173">
        <f t="shared" si="38"/>
        <v>0</v>
      </c>
      <c r="G351" s="158">
        <f t="shared" si="39"/>
        <v>0</v>
      </c>
    </row>
    <row r="352" spans="1:7" ht="12.75" hidden="1">
      <c r="A352" s="29">
        <f t="shared" si="40"/>
        <v>332</v>
      </c>
      <c r="B352" s="173">
        <f t="shared" si="41"/>
        <v>0</v>
      </c>
      <c r="C352" s="173">
        <f t="shared" si="35"/>
        <v>0</v>
      </c>
      <c r="D352" s="173">
        <f t="shared" si="36"/>
        <v>0</v>
      </c>
      <c r="E352" s="174">
        <f t="shared" si="37"/>
        <v>0</v>
      </c>
      <c r="F352" s="173">
        <f t="shared" si="38"/>
        <v>0</v>
      </c>
      <c r="G352" s="158">
        <f t="shared" si="39"/>
        <v>0</v>
      </c>
    </row>
    <row r="353" spans="1:7" ht="12.75" hidden="1">
      <c r="A353" s="29">
        <f t="shared" si="40"/>
        <v>333</v>
      </c>
      <c r="B353" s="173">
        <f t="shared" si="41"/>
        <v>0</v>
      </c>
      <c r="C353" s="173">
        <f t="shared" si="35"/>
        <v>0</v>
      </c>
      <c r="D353" s="173">
        <f t="shared" si="36"/>
        <v>0</v>
      </c>
      <c r="E353" s="174">
        <f t="shared" si="37"/>
        <v>0</v>
      </c>
      <c r="F353" s="173">
        <f t="shared" si="38"/>
        <v>0</v>
      </c>
      <c r="G353" s="158">
        <f t="shared" si="39"/>
        <v>0</v>
      </c>
    </row>
    <row r="354" spans="1:7" ht="12.75" hidden="1">
      <c r="A354" s="29">
        <f t="shared" si="40"/>
        <v>334</v>
      </c>
      <c r="B354" s="173">
        <f t="shared" si="41"/>
        <v>0</v>
      </c>
      <c r="C354" s="173">
        <f t="shared" si="35"/>
        <v>0</v>
      </c>
      <c r="D354" s="173">
        <f t="shared" si="36"/>
        <v>0</v>
      </c>
      <c r="E354" s="174">
        <f t="shared" si="37"/>
        <v>0</v>
      </c>
      <c r="F354" s="173">
        <f t="shared" si="38"/>
        <v>0</v>
      </c>
      <c r="G354" s="158">
        <f t="shared" si="39"/>
        <v>0</v>
      </c>
    </row>
    <row r="355" spans="1:7" ht="12.75" hidden="1">
      <c r="A355" s="29">
        <f t="shared" si="40"/>
        <v>335</v>
      </c>
      <c r="B355" s="173">
        <f t="shared" si="41"/>
        <v>0</v>
      </c>
      <c r="C355" s="173">
        <f t="shared" si="35"/>
        <v>0</v>
      </c>
      <c r="D355" s="173">
        <f t="shared" si="36"/>
        <v>0</v>
      </c>
      <c r="E355" s="174">
        <f t="shared" si="37"/>
        <v>0</v>
      </c>
      <c r="F355" s="173">
        <f t="shared" si="38"/>
        <v>0</v>
      </c>
      <c r="G355" s="158">
        <f t="shared" si="39"/>
        <v>0</v>
      </c>
    </row>
    <row r="356" spans="1:7" ht="12.75" hidden="1">
      <c r="A356" s="29">
        <f t="shared" si="40"/>
        <v>336</v>
      </c>
      <c r="B356" s="173">
        <f t="shared" si="41"/>
        <v>0</v>
      </c>
      <c r="C356" s="173">
        <f t="shared" si="35"/>
        <v>0</v>
      </c>
      <c r="D356" s="173">
        <f t="shared" si="36"/>
        <v>0</v>
      </c>
      <c r="E356" s="174">
        <f t="shared" si="37"/>
        <v>0</v>
      </c>
      <c r="F356" s="173">
        <f t="shared" si="38"/>
        <v>0</v>
      </c>
      <c r="G356" s="158">
        <f t="shared" si="39"/>
        <v>0</v>
      </c>
    </row>
    <row r="357" spans="1:7" ht="12.75" hidden="1">
      <c r="A357" s="29">
        <f t="shared" si="40"/>
        <v>337</v>
      </c>
      <c r="B357" s="173">
        <f t="shared" si="41"/>
        <v>0</v>
      </c>
      <c r="C357" s="173">
        <f t="shared" si="35"/>
        <v>0</v>
      </c>
      <c r="D357" s="173">
        <f t="shared" si="36"/>
        <v>0</v>
      </c>
      <c r="E357" s="174">
        <f t="shared" si="37"/>
        <v>0</v>
      </c>
      <c r="F357" s="173">
        <f t="shared" si="38"/>
        <v>0</v>
      </c>
      <c r="G357" s="158">
        <f t="shared" si="39"/>
        <v>0</v>
      </c>
    </row>
    <row r="358" spans="1:7" ht="12.75" hidden="1">
      <c r="A358" s="29">
        <f t="shared" si="40"/>
        <v>338</v>
      </c>
      <c r="B358" s="173">
        <f t="shared" si="41"/>
        <v>0</v>
      </c>
      <c r="C358" s="173">
        <f t="shared" si="35"/>
        <v>0</v>
      </c>
      <c r="D358" s="173">
        <f t="shared" si="36"/>
        <v>0</v>
      </c>
      <c r="E358" s="174">
        <f t="shared" si="37"/>
        <v>0</v>
      </c>
      <c r="F358" s="173">
        <f t="shared" si="38"/>
        <v>0</v>
      </c>
      <c r="G358" s="158">
        <f t="shared" si="39"/>
        <v>0</v>
      </c>
    </row>
    <row r="359" spans="1:7" ht="12.75" hidden="1">
      <c r="A359" s="29">
        <f t="shared" si="40"/>
        <v>339</v>
      </c>
      <c r="B359" s="173">
        <f t="shared" si="41"/>
        <v>0</v>
      </c>
      <c r="C359" s="173">
        <f t="shared" si="35"/>
        <v>0</v>
      </c>
      <c r="D359" s="173">
        <f t="shared" si="36"/>
        <v>0</v>
      </c>
      <c r="E359" s="174">
        <f t="shared" si="37"/>
        <v>0</v>
      </c>
      <c r="F359" s="173">
        <f t="shared" si="38"/>
        <v>0</v>
      </c>
      <c r="G359" s="158">
        <f t="shared" si="39"/>
        <v>0</v>
      </c>
    </row>
    <row r="360" spans="1:7" ht="12.75" hidden="1">
      <c r="A360" s="29">
        <f t="shared" si="40"/>
        <v>340</v>
      </c>
      <c r="B360" s="173">
        <f t="shared" si="41"/>
        <v>0</v>
      </c>
      <c r="C360" s="173">
        <f t="shared" si="35"/>
        <v>0</v>
      </c>
      <c r="D360" s="173">
        <f t="shared" si="36"/>
        <v>0</v>
      </c>
      <c r="E360" s="174">
        <f t="shared" si="37"/>
        <v>0</v>
      </c>
      <c r="F360" s="173">
        <f t="shared" si="38"/>
        <v>0</v>
      </c>
      <c r="G360" s="158">
        <f t="shared" si="39"/>
        <v>0</v>
      </c>
    </row>
    <row r="361" spans="1:7" ht="12.75" hidden="1">
      <c r="A361" s="29">
        <f t="shared" si="40"/>
        <v>341</v>
      </c>
      <c r="B361" s="173">
        <f t="shared" si="41"/>
        <v>0</v>
      </c>
      <c r="C361" s="173">
        <f t="shared" si="35"/>
        <v>0</v>
      </c>
      <c r="D361" s="173">
        <f t="shared" si="36"/>
        <v>0</v>
      </c>
      <c r="E361" s="174">
        <f t="shared" si="37"/>
        <v>0</v>
      </c>
      <c r="F361" s="173">
        <f t="shared" si="38"/>
        <v>0</v>
      </c>
      <c r="G361" s="158">
        <f t="shared" si="39"/>
        <v>0</v>
      </c>
    </row>
    <row r="362" spans="1:7" ht="12.75" hidden="1">
      <c r="A362" s="29">
        <f t="shared" si="40"/>
        <v>342</v>
      </c>
      <c r="B362" s="173">
        <f t="shared" si="41"/>
        <v>0</v>
      </c>
      <c r="C362" s="173">
        <f t="shared" si="35"/>
        <v>0</v>
      </c>
      <c r="D362" s="173">
        <f t="shared" si="36"/>
        <v>0</v>
      </c>
      <c r="E362" s="174">
        <f t="shared" si="37"/>
        <v>0</v>
      </c>
      <c r="F362" s="173">
        <f t="shared" si="38"/>
        <v>0</v>
      </c>
      <c r="G362" s="158">
        <f t="shared" si="39"/>
        <v>0</v>
      </c>
    </row>
    <row r="363" spans="1:7" ht="12.75" hidden="1">
      <c r="A363" s="29">
        <f t="shared" si="40"/>
        <v>343</v>
      </c>
      <c r="B363" s="173">
        <f t="shared" si="41"/>
        <v>0</v>
      </c>
      <c r="C363" s="173">
        <f t="shared" si="35"/>
        <v>0</v>
      </c>
      <c r="D363" s="173">
        <f t="shared" si="36"/>
        <v>0</v>
      </c>
      <c r="E363" s="174">
        <f t="shared" si="37"/>
        <v>0</v>
      </c>
      <c r="F363" s="173">
        <f t="shared" si="38"/>
        <v>0</v>
      </c>
      <c r="G363" s="158">
        <f t="shared" si="39"/>
        <v>0</v>
      </c>
    </row>
    <row r="364" spans="1:7" ht="12.75" hidden="1">
      <c r="A364" s="29">
        <f t="shared" si="40"/>
        <v>344</v>
      </c>
      <c r="B364" s="173">
        <f t="shared" si="41"/>
        <v>0</v>
      </c>
      <c r="C364" s="173">
        <f t="shared" si="35"/>
        <v>0</v>
      </c>
      <c r="D364" s="173">
        <f t="shared" si="36"/>
        <v>0</v>
      </c>
      <c r="E364" s="174">
        <f t="shared" si="37"/>
        <v>0</v>
      </c>
      <c r="F364" s="173">
        <f t="shared" si="38"/>
        <v>0</v>
      </c>
      <c r="G364" s="158">
        <f t="shared" si="39"/>
        <v>0</v>
      </c>
    </row>
    <row r="365" spans="1:7" ht="12.75" hidden="1">
      <c r="A365" s="29">
        <f t="shared" si="40"/>
        <v>345</v>
      </c>
      <c r="B365" s="173">
        <f t="shared" si="41"/>
        <v>0</v>
      </c>
      <c r="C365" s="173">
        <f t="shared" si="35"/>
        <v>0</v>
      </c>
      <c r="D365" s="173">
        <f t="shared" si="36"/>
        <v>0</v>
      </c>
      <c r="E365" s="174">
        <f t="shared" si="37"/>
        <v>0</v>
      </c>
      <c r="F365" s="173">
        <f t="shared" si="38"/>
        <v>0</v>
      </c>
      <c r="G365" s="158">
        <f t="shared" si="39"/>
        <v>0</v>
      </c>
    </row>
    <row r="366" spans="1:7" ht="12.75" hidden="1">
      <c r="A366" s="29">
        <f t="shared" si="40"/>
        <v>346</v>
      </c>
      <c r="B366" s="173">
        <f t="shared" si="41"/>
        <v>0</v>
      </c>
      <c r="C366" s="173">
        <f t="shared" si="35"/>
        <v>0</v>
      </c>
      <c r="D366" s="173">
        <f t="shared" si="36"/>
        <v>0</v>
      </c>
      <c r="E366" s="174">
        <f t="shared" si="37"/>
        <v>0</v>
      </c>
      <c r="F366" s="173">
        <f t="shared" si="38"/>
        <v>0</v>
      </c>
      <c r="G366" s="158">
        <f t="shared" si="39"/>
        <v>0</v>
      </c>
    </row>
    <row r="367" spans="1:7" ht="12.75" hidden="1">
      <c r="A367" s="29">
        <f t="shared" si="40"/>
        <v>347</v>
      </c>
      <c r="B367" s="173">
        <f t="shared" si="41"/>
        <v>0</v>
      </c>
      <c r="C367" s="173">
        <f t="shared" si="35"/>
        <v>0</v>
      </c>
      <c r="D367" s="173">
        <f t="shared" si="36"/>
        <v>0</v>
      </c>
      <c r="E367" s="174">
        <f t="shared" si="37"/>
        <v>0</v>
      </c>
      <c r="F367" s="173">
        <f t="shared" si="38"/>
        <v>0</v>
      </c>
      <c r="G367" s="158">
        <f t="shared" si="39"/>
        <v>0</v>
      </c>
    </row>
    <row r="368" spans="1:7" ht="12.75" hidden="1">
      <c r="A368" s="29">
        <f t="shared" si="40"/>
        <v>348</v>
      </c>
      <c r="B368" s="173">
        <f t="shared" si="41"/>
        <v>0</v>
      </c>
      <c r="C368" s="173">
        <f t="shared" si="35"/>
        <v>0</v>
      </c>
      <c r="D368" s="173">
        <f t="shared" si="36"/>
        <v>0</v>
      </c>
      <c r="E368" s="174">
        <f t="shared" si="37"/>
        <v>0</v>
      </c>
      <c r="F368" s="173">
        <f t="shared" si="38"/>
        <v>0</v>
      </c>
      <c r="G368" s="158">
        <f t="shared" si="39"/>
        <v>0</v>
      </c>
    </row>
    <row r="369" spans="1:7" ht="12.75" hidden="1">
      <c r="A369" s="29">
        <f t="shared" si="40"/>
        <v>349</v>
      </c>
      <c r="B369" s="173">
        <f t="shared" si="41"/>
        <v>0</v>
      </c>
      <c r="C369" s="173">
        <f t="shared" si="35"/>
        <v>0</v>
      </c>
      <c r="D369" s="173">
        <f t="shared" si="36"/>
        <v>0</v>
      </c>
      <c r="E369" s="174">
        <f t="shared" si="37"/>
        <v>0</v>
      </c>
      <c r="F369" s="173">
        <f t="shared" si="38"/>
        <v>0</v>
      </c>
      <c r="G369" s="158">
        <f t="shared" si="39"/>
        <v>0</v>
      </c>
    </row>
    <row r="370" spans="1:7" ht="12.75" hidden="1">
      <c r="A370" s="29">
        <f t="shared" si="40"/>
        <v>350</v>
      </c>
      <c r="B370" s="173">
        <f t="shared" si="41"/>
        <v>0</v>
      </c>
      <c r="C370" s="173">
        <f t="shared" si="35"/>
        <v>0</v>
      </c>
      <c r="D370" s="173">
        <f t="shared" si="36"/>
        <v>0</v>
      </c>
      <c r="E370" s="174">
        <f t="shared" si="37"/>
        <v>0</v>
      </c>
      <c r="F370" s="173">
        <f t="shared" si="38"/>
        <v>0</v>
      </c>
      <c r="G370" s="158">
        <f t="shared" si="39"/>
        <v>0</v>
      </c>
    </row>
    <row r="371" spans="1:7" ht="12.75" hidden="1">
      <c r="A371" s="29">
        <f t="shared" si="40"/>
        <v>351</v>
      </c>
      <c r="B371" s="173">
        <f t="shared" si="41"/>
        <v>0</v>
      </c>
      <c r="C371" s="173">
        <f t="shared" si="35"/>
        <v>0</v>
      </c>
      <c r="D371" s="173">
        <f t="shared" si="36"/>
        <v>0</v>
      </c>
      <c r="E371" s="174">
        <f t="shared" si="37"/>
        <v>0</v>
      </c>
      <c r="F371" s="173">
        <f t="shared" si="38"/>
        <v>0</v>
      </c>
      <c r="G371" s="158">
        <f t="shared" si="39"/>
        <v>0</v>
      </c>
    </row>
    <row r="372" spans="1:7" ht="12.75" hidden="1">
      <c r="A372" s="29">
        <f t="shared" si="40"/>
        <v>352</v>
      </c>
      <c r="B372" s="173">
        <f t="shared" si="41"/>
        <v>0</v>
      </c>
      <c r="C372" s="173">
        <f t="shared" si="35"/>
        <v>0</v>
      </c>
      <c r="D372" s="173">
        <f t="shared" si="36"/>
        <v>0</v>
      </c>
      <c r="E372" s="174">
        <f t="shared" si="37"/>
        <v>0</v>
      </c>
      <c r="F372" s="173">
        <f t="shared" si="38"/>
        <v>0</v>
      </c>
      <c r="G372" s="158">
        <f t="shared" si="39"/>
        <v>0</v>
      </c>
    </row>
    <row r="373" spans="1:7" ht="12.75" hidden="1">
      <c r="A373" s="29">
        <f t="shared" si="40"/>
        <v>353</v>
      </c>
      <c r="B373" s="173">
        <f t="shared" si="41"/>
        <v>0</v>
      </c>
      <c r="C373" s="173">
        <f t="shared" si="35"/>
        <v>0</v>
      </c>
      <c r="D373" s="173">
        <f t="shared" si="36"/>
        <v>0</v>
      </c>
      <c r="E373" s="174">
        <f t="shared" si="37"/>
        <v>0</v>
      </c>
      <c r="F373" s="173">
        <f t="shared" si="38"/>
        <v>0</v>
      </c>
      <c r="G373" s="158">
        <f t="shared" si="39"/>
        <v>0</v>
      </c>
    </row>
    <row r="374" spans="1:7" ht="12.75" hidden="1">
      <c r="A374" s="29">
        <f t="shared" si="40"/>
        <v>354</v>
      </c>
      <c r="B374" s="173">
        <f t="shared" si="41"/>
        <v>0</v>
      </c>
      <c r="C374" s="173">
        <f t="shared" si="35"/>
        <v>0</v>
      </c>
      <c r="D374" s="173">
        <f t="shared" si="36"/>
        <v>0</v>
      </c>
      <c r="E374" s="174">
        <f t="shared" si="37"/>
        <v>0</v>
      </c>
      <c r="F374" s="173">
        <f t="shared" si="38"/>
        <v>0</v>
      </c>
      <c r="G374" s="158">
        <f t="shared" si="39"/>
        <v>0</v>
      </c>
    </row>
    <row r="375" spans="1:7" ht="12.75" hidden="1">
      <c r="A375" s="29">
        <f t="shared" si="40"/>
        <v>355</v>
      </c>
      <c r="B375" s="173">
        <f t="shared" si="41"/>
        <v>0</v>
      </c>
      <c r="C375" s="173">
        <f t="shared" si="35"/>
        <v>0</v>
      </c>
      <c r="D375" s="173">
        <f t="shared" si="36"/>
        <v>0</v>
      </c>
      <c r="E375" s="174">
        <f t="shared" si="37"/>
        <v>0</v>
      </c>
      <c r="F375" s="173">
        <f t="shared" si="38"/>
        <v>0</v>
      </c>
      <c r="G375" s="158">
        <f t="shared" si="39"/>
        <v>0</v>
      </c>
    </row>
    <row r="376" spans="1:7" ht="12.75" hidden="1">
      <c r="A376" s="29">
        <f t="shared" si="40"/>
        <v>356</v>
      </c>
      <c r="B376" s="173">
        <f t="shared" si="41"/>
        <v>0</v>
      </c>
      <c r="C376" s="173">
        <f t="shared" si="35"/>
        <v>0</v>
      </c>
      <c r="D376" s="173">
        <f t="shared" si="36"/>
        <v>0</v>
      </c>
      <c r="E376" s="174">
        <f t="shared" si="37"/>
        <v>0</v>
      </c>
      <c r="F376" s="173">
        <f t="shared" si="38"/>
        <v>0</v>
      </c>
      <c r="G376" s="158">
        <f t="shared" si="39"/>
        <v>0</v>
      </c>
    </row>
    <row r="377" spans="1:7" ht="12.75" hidden="1">
      <c r="A377" s="29">
        <f t="shared" si="40"/>
        <v>357</v>
      </c>
      <c r="B377" s="173">
        <f t="shared" si="41"/>
        <v>0</v>
      </c>
      <c r="C377" s="173">
        <f t="shared" si="35"/>
        <v>0</v>
      </c>
      <c r="D377" s="173">
        <f t="shared" si="36"/>
        <v>0</v>
      </c>
      <c r="E377" s="174">
        <f t="shared" si="37"/>
        <v>0</v>
      </c>
      <c r="F377" s="173">
        <f t="shared" si="38"/>
        <v>0</v>
      </c>
      <c r="G377" s="158">
        <f t="shared" si="39"/>
        <v>0</v>
      </c>
    </row>
    <row r="378" spans="1:7" ht="12.75" hidden="1">
      <c r="A378" s="29">
        <f t="shared" si="40"/>
        <v>358</v>
      </c>
      <c r="B378" s="173">
        <f t="shared" si="41"/>
        <v>0</v>
      </c>
      <c r="C378" s="173">
        <f t="shared" si="35"/>
        <v>0</v>
      </c>
      <c r="D378" s="173">
        <f t="shared" si="36"/>
        <v>0</v>
      </c>
      <c r="E378" s="174">
        <f t="shared" si="37"/>
        <v>0</v>
      </c>
      <c r="F378" s="173">
        <f t="shared" si="38"/>
        <v>0</v>
      </c>
      <c r="G378" s="158">
        <f t="shared" si="39"/>
        <v>0</v>
      </c>
    </row>
    <row r="379" spans="1:7" ht="12.75" hidden="1">
      <c r="A379" s="29">
        <f t="shared" si="40"/>
        <v>359</v>
      </c>
      <c r="B379" s="173">
        <f t="shared" si="41"/>
        <v>0</v>
      </c>
      <c r="C379" s="173">
        <f t="shared" si="35"/>
        <v>0</v>
      </c>
      <c r="D379" s="173">
        <f t="shared" si="36"/>
        <v>0</v>
      </c>
      <c r="E379" s="174">
        <f t="shared" si="37"/>
        <v>0</v>
      </c>
      <c r="F379" s="173">
        <f t="shared" si="38"/>
        <v>0</v>
      </c>
      <c r="G379" s="158">
        <f t="shared" si="39"/>
        <v>0</v>
      </c>
    </row>
    <row r="380" spans="1:7" ht="13.5" hidden="1" thickBot="1">
      <c r="A380" s="29">
        <f t="shared" si="40"/>
        <v>360</v>
      </c>
      <c r="B380" s="173">
        <f t="shared" si="41"/>
        <v>0</v>
      </c>
      <c r="C380" s="173">
        <f t="shared" si="35"/>
        <v>0</v>
      </c>
      <c r="D380" s="173">
        <f t="shared" si="36"/>
        <v>0</v>
      </c>
      <c r="E380" s="174">
        <f t="shared" si="37"/>
        <v>0</v>
      </c>
      <c r="F380" s="173">
        <f t="shared" si="38"/>
        <v>0</v>
      </c>
      <c r="G380" s="158">
        <f t="shared" si="39"/>
        <v>0</v>
      </c>
    </row>
    <row r="381" spans="1:7" ht="13.5" thickBot="1">
      <c r="A381" s="175" t="s">
        <v>142</v>
      </c>
      <c r="B381" s="176"/>
      <c r="C381" s="176">
        <f>SUM(C21:C380)</f>
        <v>6793447.471651215</v>
      </c>
      <c r="D381" s="176">
        <f>SUM(D21:D380)</f>
        <v>6793447.471651215</v>
      </c>
      <c r="E381" s="176">
        <f>SUM(E21:E380)</f>
        <v>793447.4716511539</v>
      </c>
      <c r="F381" s="176">
        <f>SUM(F21:F380)</f>
        <v>6000000.000000063</v>
      </c>
      <c r="G381" s="177"/>
    </row>
    <row r="382" spans="1:7" ht="12.75">
      <c r="A382" s="30"/>
      <c r="B382" s="173"/>
      <c r="C382" s="173"/>
      <c r="D382" s="173"/>
      <c r="E382" s="174"/>
      <c r="F382" s="173"/>
      <c r="G382" s="173"/>
    </row>
    <row r="383" ht="12.75">
      <c r="A383" s="30"/>
    </row>
    <row r="384" ht="12.75">
      <c r="A384" s="30"/>
    </row>
    <row r="385" ht="12.75">
      <c r="A385" s="30"/>
    </row>
    <row r="386" ht="12.75">
      <c r="A386" s="30"/>
    </row>
    <row r="387" ht="12.75">
      <c r="A387" s="30"/>
    </row>
  </sheetData>
  <sheetProtection/>
  <mergeCells count="16">
    <mergeCell ref="E16:G16"/>
    <mergeCell ref="A16:C16"/>
    <mergeCell ref="A13:D13"/>
    <mergeCell ref="A17:D17"/>
    <mergeCell ref="A9:C9"/>
    <mergeCell ref="A10:C10"/>
    <mergeCell ref="A11:C11"/>
    <mergeCell ref="A12:C12"/>
    <mergeCell ref="A5:C5"/>
    <mergeCell ref="A6:C6"/>
    <mergeCell ref="A7:C7"/>
    <mergeCell ref="A8:C8"/>
    <mergeCell ref="A1:G1"/>
    <mergeCell ref="A2:C2"/>
    <mergeCell ref="A3:C3"/>
    <mergeCell ref="A4:C4"/>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zoomScale="140" zoomScaleNormal="140" workbookViewId="0" topLeftCell="A1">
      <selection activeCell="A1" sqref="A1:G1"/>
    </sheetView>
  </sheetViews>
  <sheetFormatPr defaultColWidth="9.140625" defaultRowHeight="12.75"/>
  <cols>
    <col min="1" max="1" width="21.7109375" style="0" customWidth="1"/>
    <col min="2" max="2" width="5.28125" style="0" customWidth="1"/>
    <col min="3" max="3" width="3.28125" style="0" customWidth="1"/>
    <col min="4" max="4" width="19.7109375" style="0" customWidth="1"/>
    <col min="5" max="5" width="9.7109375" style="0" customWidth="1"/>
    <col min="6" max="6" width="4.28125" style="0" customWidth="1"/>
    <col min="7" max="7" width="22.00390625" style="0" customWidth="1"/>
  </cols>
  <sheetData>
    <row r="1" spans="1:7" ht="50.25" customHeight="1">
      <c r="A1" s="445" t="s">
        <v>158</v>
      </c>
      <c r="B1" s="446"/>
      <c r="C1" s="446"/>
      <c r="D1" s="446"/>
      <c r="E1" s="446"/>
      <c r="F1" s="446"/>
      <c r="G1" s="446"/>
    </row>
    <row r="2" spans="1:7" ht="54.75" customHeight="1">
      <c r="A2" s="424" t="s">
        <v>143</v>
      </c>
      <c r="B2" s="424"/>
      <c r="C2" s="424"/>
      <c r="D2" s="424"/>
      <c r="E2" s="424"/>
      <c r="F2" s="424"/>
      <c r="G2" s="424"/>
    </row>
    <row r="3" spans="1:7" ht="20.25" customHeight="1">
      <c r="A3" s="445" t="s">
        <v>144</v>
      </c>
      <c r="B3" s="445"/>
      <c r="C3" s="445"/>
      <c r="D3" s="445"/>
      <c r="E3" s="445"/>
      <c r="F3" s="445"/>
      <c r="G3" s="445"/>
    </row>
    <row r="4" spans="1:7" ht="42" customHeight="1" thickBot="1">
      <c r="A4" s="451" t="s">
        <v>145</v>
      </c>
      <c r="B4" s="425" t="s">
        <v>146</v>
      </c>
      <c r="C4" s="178"/>
      <c r="D4" s="179" t="s">
        <v>147</v>
      </c>
      <c r="E4" s="180" t="s">
        <v>148</v>
      </c>
      <c r="F4" s="427" t="s">
        <v>149</v>
      </c>
      <c r="G4" s="432" t="s">
        <v>150</v>
      </c>
    </row>
    <row r="5" spans="1:7" ht="27.75" customHeight="1">
      <c r="A5" s="452"/>
      <c r="B5" s="425"/>
      <c r="C5" s="178"/>
      <c r="D5" s="426" t="s">
        <v>151</v>
      </c>
      <c r="E5" s="426"/>
      <c r="F5" s="427"/>
      <c r="G5" s="432"/>
    </row>
    <row r="6" spans="1:7" ht="39" customHeight="1" thickBot="1">
      <c r="A6" s="448">
        <f>'Effektiv rente annuitetslån'!D2</f>
        <v>6000000</v>
      </c>
      <c r="B6" s="425" t="s">
        <v>146</v>
      </c>
      <c r="C6" s="178"/>
      <c r="D6" s="179" t="str">
        <f>CONCATENATE("1-(1+",D7,")")</f>
        <v>1-(1+0,015)</v>
      </c>
      <c r="E6" s="183">
        <f>-'Effektiv rente annuitetslån'!D9</f>
        <v>-16</v>
      </c>
      <c r="F6" s="427" t="s">
        <v>149</v>
      </c>
      <c r="G6" s="432" t="s">
        <v>150</v>
      </c>
    </row>
    <row r="7" spans="1:7" ht="20.25" customHeight="1">
      <c r="A7" s="431"/>
      <c r="B7" s="425"/>
      <c r="C7" s="178"/>
      <c r="D7" s="449">
        <f>'Effektiv rente annuitetslån'!D10</f>
        <v>0.015</v>
      </c>
      <c r="E7" s="449"/>
      <c r="F7" s="427"/>
      <c r="G7" s="432"/>
    </row>
    <row r="8" spans="1:7" ht="30" customHeight="1">
      <c r="A8" s="184">
        <f>A6</f>
        <v>6000000</v>
      </c>
      <c r="B8" s="178" t="s">
        <v>146</v>
      </c>
      <c r="C8" s="178"/>
      <c r="D8" s="444">
        <f>ROUNDUP(A6/'Effektiv rente annuitetslån'!D11*-1,6)</f>
        <v>14.131264999999999</v>
      </c>
      <c r="E8" s="444"/>
      <c r="F8" s="181" t="s">
        <v>149</v>
      </c>
      <c r="G8" s="182" t="s">
        <v>150</v>
      </c>
    </row>
    <row r="9" spans="1:7" ht="33.75" customHeight="1">
      <c r="A9" s="185" t="s">
        <v>150</v>
      </c>
      <c r="B9" s="178" t="s">
        <v>146</v>
      </c>
      <c r="C9" s="178"/>
      <c r="D9" s="186">
        <f>'Effektiv rente annuitetslån'!D11*-1</f>
        <v>424590.46697820106</v>
      </c>
      <c r="E9" s="186"/>
      <c r="F9" s="186"/>
      <c r="G9" s="186"/>
    </row>
    <row r="10" spans="1:7" ht="23.25" customHeight="1">
      <c r="A10" s="450" t="s">
        <v>152</v>
      </c>
      <c r="B10" s="450"/>
      <c r="C10" s="450"/>
      <c r="D10" s="450"/>
      <c r="E10" s="450"/>
      <c r="F10" s="450"/>
      <c r="G10" s="450"/>
    </row>
    <row r="11" spans="1:8" ht="42" customHeight="1" thickBot="1">
      <c r="A11" s="430" t="s">
        <v>153</v>
      </c>
      <c r="B11" s="425" t="s">
        <v>146</v>
      </c>
      <c r="C11" s="178"/>
      <c r="D11" s="179" t="s">
        <v>147</v>
      </c>
      <c r="E11" s="180" t="s">
        <v>148</v>
      </c>
      <c r="F11" s="427" t="s">
        <v>149</v>
      </c>
      <c r="G11" s="432" t="str">
        <f>IF('Effektiv rente annuitetslån'!D12=0,"b","b+gebyr")</f>
        <v>b</v>
      </c>
      <c r="H11" s="51"/>
    </row>
    <row r="12" spans="1:8" ht="21" customHeight="1">
      <c r="A12" s="431"/>
      <c r="B12" s="425"/>
      <c r="C12" s="178"/>
      <c r="D12" s="426" t="s">
        <v>151</v>
      </c>
      <c r="E12" s="426"/>
      <c r="F12" s="427"/>
      <c r="G12" s="432"/>
      <c r="H12" s="51"/>
    </row>
    <row r="13" spans="1:7" ht="21" customHeight="1">
      <c r="A13" s="447" t="s">
        <v>154</v>
      </c>
      <c r="B13" s="447"/>
      <c r="C13" s="447"/>
      <c r="D13" s="447"/>
      <c r="E13" s="447"/>
      <c r="F13" s="447"/>
      <c r="G13" s="447"/>
    </row>
    <row r="14" spans="1:7" ht="27.75" thickBot="1">
      <c r="A14" s="436">
        <f>'Effektiv rente annuitetslån'!D5</f>
        <v>5874000</v>
      </c>
      <c r="B14" s="425" t="s">
        <v>146</v>
      </c>
      <c r="C14" s="178"/>
      <c r="D14" s="179" t="str">
        <f>D11</f>
        <v>1-(1+ r)</v>
      </c>
      <c r="E14" s="187">
        <f>-'Effektiv rente annuitetslån'!D9</f>
        <v>-16</v>
      </c>
      <c r="F14" s="437" t="str">
        <f>F11</f>
        <v>*</v>
      </c>
      <c r="G14" s="434">
        <f>('Effektiv rente annuitetslån'!D11-'Effektiv rente annuitetslån'!D12)*-1</f>
        <v>424590.46697820106</v>
      </c>
    </row>
    <row r="15" spans="1:7" ht="27">
      <c r="A15" s="436"/>
      <c r="B15" s="425"/>
      <c r="C15" s="178"/>
      <c r="D15" s="426" t="str">
        <f>D12</f>
        <v>r</v>
      </c>
      <c r="E15" s="426"/>
      <c r="F15" s="438"/>
      <c r="G15" s="434"/>
    </row>
    <row r="16" spans="1:7" ht="15.75">
      <c r="A16" s="428" t="s">
        <v>155</v>
      </c>
      <c r="B16" s="428"/>
      <c r="C16" s="428"/>
      <c r="D16" s="428"/>
      <c r="E16" s="428"/>
      <c r="F16" s="428"/>
      <c r="G16" s="428"/>
    </row>
    <row r="17" spans="1:5" ht="38.25" customHeight="1" thickBot="1">
      <c r="A17" s="433">
        <f>A14/G14</f>
        <v>13.834507500380543</v>
      </c>
      <c r="B17" s="435" t="str">
        <f>B14</f>
        <v>=</v>
      </c>
      <c r="C17" s="188"/>
      <c r="D17" s="179" t="str">
        <f>D14</f>
        <v>1-(1+ r)</v>
      </c>
      <c r="E17" s="187">
        <f>E14</f>
        <v>-16</v>
      </c>
    </row>
    <row r="18" spans="1:5" ht="31.5" customHeight="1">
      <c r="A18" s="433"/>
      <c r="B18" s="435"/>
      <c r="C18" s="188"/>
      <c r="D18" s="429" t="str">
        <f>D15</f>
        <v>r</v>
      </c>
      <c r="E18" s="429"/>
    </row>
    <row r="19" spans="1:7" ht="15.75">
      <c r="A19" s="428" t="s">
        <v>156</v>
      </c>
      <c r="B19" s="428"/>
      <c r="C19" s="428"/>
      <c r="D19" s="428"/>
      <c r="E19" s="428"/>
      <c r="F19" s="428"/>
      <c r="G19" s="428"/>
    </row>
    <row r="20" spans="1:4" ht="27">
      <c r="A20" s="190" t="str">
        <f>D18</f>
        <v>r</v>
      </c>
      <c r="B20" s="191" t="str">
        <f>B17</f>
        <v>=</v>
      </c>
      <c r="C20" s="191"/>
      <c r="D20" s="192">
        <f>RATE('Effektiv rente annuitetslån'!D9,'Effektiv rente annuitetslån'!D14,'Effektiv rente annuitetslån'!D5)</f>
        <v>0.017644567958220846</v>
      </c>
    </row>
    <row r="21" spans="1:7" ht="15.75">
      <c r="A21" s="428" t="s">
        <v>157</v>
      </c>
      <c r="B21" s="428"/>
      <c r="C21" s="428"/>
      <c r="D21" s="428"/>
      <c r="E21" s="428"/>
      <c r="F21" s="428"/>
      <c r="G21" s="428"/>
    </row>
    <row r="22" spans="1:7" ht="28.5" thickBot="1">
      <c r="A22" s="193" t="str">
        <f>A20</f>
        <v>r</v>
      </c>
      <c r="B22" s="194" t="str">
        <f>B20</f>
        <v>=</v>
      </c>
      <c r="C22" s="194"/>
      <c r="D22" s="195">
        <f>D20</f>
        <v>0.017644567958220846</v>
      </c>
      <c r="E22" s="441" t="str">
        <f>IF('Effektiv rente annuitetslån'!D8=1,"Årlig rente"," ")</f>
        <v> </v>
      </c>
      <c r="F22" s="441"/>
      <c r="G22" s="441"/>
    </row>
    <row r="23" ht="13.5" thickTop="1"/>
    <row r="24" spans="1:7" ht="18" customHeight="1">
      <c r="A24" s="428" t="str">
        <f>IF('Effektiv rente annuitetslån'!D8=1," ",CONCATENATE("Da terminerne på lånet er ",'Effektiv rente annuitetslån'!D8," gange pr. år skal følgende beregning foretages:"))</f>
        <v>Da terminerne på lånet er 4 gange pr. år skal følgende beregning foretages:</v>
      </c>
      <c r="B24" s="428"/>
      <c r="C24" s="428"/>
      <c r="D24" s="428"/>
      <c r="E24" s="428"/>
      <c r="F24" s="428"/>
      <c r="G24" s="428"/>
    </row>
    <row r="25" spans="1:7" ht="21">
      <c r="A25" s="196" t="str">
        <f>IF('Effektiv rente annuitetslån'!$D$8=1,"","(1+r)")</f>
        <v>(1+r)</v>
      </c>
      <c r="B25" s="197">
        <f>IF('Effektiv rente annuitetslån'!D8=1,"",'Effektiv rente annuitetslån'!D8)</f>
        <v>4</v>
      </c>
      <c r="C25" s="196" t="str">
        <f>IF('Effektiv rente annuitetslån'!$D$8=1,"","-1")</f>
        <v>-1</v>
      </c>
      <c r="D25" s="147" t="str">
        <f>IF('Effektiv rente annuitetslån'!$D$8=1,"",CONCATENATE("="," Årlig rente"))</f>
        <v>= Årlig rente</v>
      </c>
      <c r="E25" s="147"/>
      <c r="F25" s="147"/>
      <c r="G25" s="147"/>
    </row>
    <row r="26" spans="1:7" ht="21.75" customHeight="1">
      <c r="A26" s="440" t="str">
        <f>IF('Effektiv rente annuitetslån'!$D$8=1,"","Ved at indsætte fås:")</f>
        <v>Ved at indsætte fås:</v>
      </c>
      <c r="B26" s="440"/>
      <c r="C26" s="440"/>
      <c r="D26" s="440"/>
      <c r="E26" s="440"/>
      <c r="F26" s="440"/>
      <c r="G26" s="440"/>
    </row>
    <row r="27" spans="1:7" ht="33" customHeight="1">
      <c r="A27" s="198" t="str">
        <f>IF('Effektiv rente annuitetslån'!D8=1,"",CONCATENATE("(1+",ROUND(D20,4),")"))</f>
        <v>(1+0,0176)</v>
      </c>
      <c r="B27" s="199">
        <f>B25</f>
        <v>4</v>
      </c>
      <c r="C27" s="196" t="str">
        <f>IF('Effektiv rente annuitetslån'!$D$8=1,"","-1")</f>
        <v>-1</v>
      </c>
      <c r="D27" s="147" t="str">
        <f>D25</f>
        <v>= Årlig rente</v>
      </c>
      <c r="E27" s="147"/>
      <c r="F27" s="147"/>
      <c r="G27" s="147"/>
    </row>
    <row r="28" spans="1:7" ht="33" customHeight="1">
      <c r="A28" s="443">
        <f>IF('Effektiv rente annuitetslån'!D8=1,"",'Effektiv rente annuitetslån'!D16)</f>
        <v>0.07246832661864122</v>
      </c>
      <c r="B28" s="443"/>
      <c r="C28" s="443"/>
      <c r="D28" s="147" t="str">
        <f>D27</f>
        <v>= Årlig rente</v>
      </c>
      <c r="E28" s="200"/>
      <c r="G28" s="201"/>
    </row>
    <row r="29" spans="1:7" ht="15.75">
      <c r="A29" s="442" t="str">
        <f>IF('Effektiv rente annuitetslån'!D8=1,"","Eller udtrykt i procent:")</f>
        <v>Eller udtrykt i procent:</v>
      </c>
      <c r="B29" s="442"/>
      <c r="C29" s="442"/>
      <c r="D29" s="442"/>
      <c r="E29" s="442"/>
      <c r="F29" s="442"/>
      <c r="G29" s="442"/>
    </row>
    <row r="30" spans="1:4" ht="21" customHeight="1">
      <c r="A30" s="439" t="str">
        <f>IF('Effektiv rente annuitetslån'!$D$8=1,"",CONCATENATE("Årlig rente = ",ROUND('Effektiv rente annuitetslån'!D16*100,2),"%"))</f>
        <v>Årlig rente = 7,25%</v>
      </c>
      <c r="B30" s="439"/>
      <c r="C30" s="439"/>
      <c r="D30" s="439"/>
    </row>
  </sheetData>
  <mergeCells count="38">
    <mergeCell ref="F11:F12"/>
    <mergeCell ref="D8:E8"/>
    <mergeCell ref="A1:G1"/>
    <mergeCell ref="A13:G13"/>
    <mergeCell ref="A6:A7"/>
    <mergeCell ref="D7:E7"/>
    <mergeCell ref="G4:G5"/>
    <mergeCell ref="A3:G3"/>
    <mergeCell ref="A10:G10"/>
    <mergeCell ref="A4:A5"/>
    <mergeCell ref="A30:D30"/>
    <mergeCell ref="A26:G26"/>
    <mergeCell ref="A24:G24"/>
    <mergeCell ref="E22:G22"/>
    <mergeCell ref="A29:G29"/>
    <mergeCell ref="A28:C28"/>
    <mergeCell ref="A17:A18"/>
    <mergeCell ref="A19:G19"/>
    <mergeCell ref="G14:G15"/>
    <mergeCell ref="B17:B18"/>
    <mergeCell ref="B14:B15"/>
    <mergeCell ref="A14:A15"/>
    <mergeCell ref="A16:G16"/>
    <mergeCell ref="F14:F15"/>
    <mergeCell ref="B6:B7"/>
    <mergeCell ref="F6:F7"/>
    <mergeCell ref="A21:G21"/>
    <mergeCell ref="D18:E18"/>
    <mergeCell ref="D15:E15"/>
    <mergeCell ref="A11:A12"/>
    <mergeCell ref="G6:G7"/>
    <mergeCell ref="G11:G12"/>
    <mergeCell ref="B11:B12"/>
    <mergeCell ref="D12:E12"/>
    <mergeCell ref="A2:G2"/>
    <mergeCell ref="B4:B5"/>
    <mergeCell ref="D5:E5"/>
    <mergeCell ref="F4:F5"/>
  </mergeCells>
  <printOptions/>
  <pageMargins left="0.75" right="0.75" top="1" bottom="1" header="0" footer="0"/>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Roskilde Handelsskole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Roskilde Handelsskole</dc:creator>
  <cp:keywords/>
  <dc:description/>
  <cp:lastModifiedBy>Roskilde Handelsskole</cp:lastModifiedBy>
  <cp:lastPrinted>2007-12-22T22:22:49Z</cp:lastPrinted>
  <dcterms:created xsi:type="dcterms:W3CDTF">2002-09-24T10:47:07Z</dcterms:created>
  <dcterms:modified xsi:type="dcterms:W3CDTF">2010-04-21T15:27:41Z</dcterms:modified>
  <cp:category/>
  <cp:version/>
  <cp:contentType/>
  <cp:contentStatus/>
</cp:coreProperties>
</file>