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opg 1.1 Prisoptimering" sheetId="1" r:id="rId1"/>
    <sheet name="opg 1.1 løsningstabel" sheetId="2" r:id="rId2"/>
    <sheet name="opg 1.2 Prisoptimering" sheetId="3" r:id="rId3"/>
    <sheet name="opg 1.2 løsningstabel" sheetId="4" r:id="rId4"/>
    <sheet name="opg 1.3 Prisoptimering" sheetId="5" r:id="rId5"/>
    <sheet name="opg 1.3 løsningstabel" sheetId="6" r:id="rId6"/>
    <sheet name="Opgave 2 investering " sheetId="7" r:id="rId7"/>
    <sheet name="opgave 2.3 investering" sheetId="8" r:id="rId8"/>
    <sheet name="Opgave 2 investering  (2)" sheetId="9" r:id="rId9"/>
    <sheet name="opgave 2.3 investering (2)" sheetId="10" r:id="rId10"/>
    <sheet name="opg 3 Resultatbudget" sheetId="11" r:id="rId11"/>
    <sheet name="opg 3 Balance" sheetId="12" r:id="rId12"/>
    <sheet name="opg 3 Likviditetsbudget" sheetId="13" r:id="rId13"/>
    <sheet name=" opgave 4 Resultatkontrol 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Roskilde Handelsskole</author>
  </authors>
  <commentList>
    <comment ref="C115" authorId="0">
      <text>
        <r>
          <rPr>
            <sz val="20"/>
            <rFont val="Tahoma"/>
            <family val="2"/>
          </rPr>
          <t>Find prisen ud fra ovenstående tabeller via en cellereference. 
Træk derefter formlen ud til
kolonne J (celle J115)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IT Afdelingen</author>
    <author>Roskilde Handelsskole</author>
    <author>IT afdelingen</author>
  </authors>
  <commentList>
    <comment ref="B2" authorId="0">
      <text>
        <r>
          <rPr>
            <b/>
            <sz val="8"/>
            <rFont val="Tahoma"/>
            <family val="2"/>
          </rPr>
          <t>Her indtastes årstal for regnskabsåret, de andre årstal justeres i forhold til dette</t>
        </r>
      </text>
    </comment>
    <comment ref="A4" authorId="1">
      <text>
        <r>
          <rPr>
            <b/>
            <sz val="14"/>
            <rFont val="Tahoma"/>
            <family val="2"/>
          </rPr>
          <t xml:space="preserve">Her skal du bestemme om det er en produktions eller en handelsvirksomhed.
Hvis det er en produktionsvirksomhed skriver du </t>
        </r>
        <r>
          <rPr>
            <b/>
            <i/>
            <sz val="16"/>
            <rFont val="Tahoma"/>
            <family val="2"/>
          </rPr>
          <t>Råvarer</t>
        </r>
        <r>
          <rPr>
            <b/>
            <sz val="14"/>
            <rFont val="Tahoma"/>
            <family val="2"/>
          </rPr>
          <t xml:space="preserve">.
Hvis det er en handelsvirksomhed skriver du </t>
        </r>
        <r>
          <rPr>
            <b/>
            <i/>
            <sz val="16"/>
            <rFont val="Tahoma"/>
            <family val="2"/>
          </rPr>
          <t>Vareforbrug</t>
        </r>
      </text>
    </comment>
    <comment ref="B34" authorId="2">
      <text>
        <r>
          <rPr>
            <b/>
            <sz val="8"/>
            <rFont val="Tahoma"/>
            <family val="2"/>
          </rPr>
          <t>Hvis der er en kassekredit i opgaven skal der angives et max. Hvis der ikke er angivet et max. i opgaven kan max sættes til primo saldoen.</t>
        </r>
        <r>
          <rPr>
            <sz val="8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12"/>
            <rFont val="Tahoma"/>
            <family val="2"/>
          </rPr>
          <t>Her skal du bestemme om opgaven skal udarbejdes exclusiv eller inclklusiv moms.
Hvis du vil lave opgaven exclusiv moms tastes: 0</t>
        </r>
        <r>
          <rPr>
            <b/>
            <sz val="12"/>
            <rFont val="Tahoma"/>
            <family val="2"/>
          </rPr>
          <t xml:space="preserve">
Hvis du vil lave opgaven inclusiv moms tastes en momsprocent. I Danmark 25%,
tast: 25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Per</author>
    <author>IT afdelingen</author>
    <author>Brygger</author>
    <author>Roskilde Handelsskole</author>
  </authors>
  <commentList>
    <comment ref="F4" authorId="0">
      <text>
        <r>
          <rPr>
            <sz val="8"/>
            <rFont val="Tahoma"/>
            <family val="2"/>
          </rPr>
          <t xml:space="preserve">Teksten ændrer sig. Hvis der tastes 0 i reserver i resultat budgettet bliver teksten til Egenkapital ellers aktiekapital.
</t>
        </r>
      </text>
    </comment>
    <comment ref="I6" authorId="0">
      <text>
        <r>
          <rPr>
            <b/>
            <sz val="8"/>
            <rFont val="Tahoma"/>
            <family val="2"/>
          </rPr>
          <t>Der skal ikke tastes minus foran privatforbruget</t>
        </r>
        <r>
          <rPr>
            <sz val="8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4"/>
            <rFont val="Tahoma"/>
            <family val="2"/>
          </rPr>
          <t>Når der afdrages på gælden skal der tastes minus foran tallet.</t>
        </r>
      </text>
    </comment>
    <comment ref="A15" authorId="2">
      <text>
        <r>
          <rPr>
            <b/>
            <sz val="8"/>
            <rFont val="Tahoma"/>
            <family val="2"/>
          </rPr>
          <t>Varelageret må ikke laves om da det danner grundlag for omsætningshastigheden på varelageret</t>
        </r>
      </text>
    </comment>
    <comment ref="F15" authorId="2">
      <text>
        <r>
          <rPr>
            <b/>
            <sz val="8"/>
            <rFont val="Tahoma"/>
            <family val="2"/>
          </rPr>
          <t>Varekreditorerne må ikke laves om da det danner grundlag for omsætningshastigheden på varekreditorer og kreditdage</t>
        </r>
        <r>
          <rPr>
            <sz val="8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8"/>
            <rFont val="Tahoma"/>
            <family val="2"/>
          </rPr>
          <t>Tast ikke her, det er en celle til produktionen(VUF) i en produktionsvirksomhed</t>
        </r>
      </text>
    </comment>
    <comment ref="A17" authorId="1">
      <text>
        <r>
          <rPr>
            <b/>
            <sz val="8"/>
            <rFont val="Tahoma"/>
            <family val="2"/>
          </rPr>
          <t xml:space="preserve">Tast ikke her, 
det er en celle til færdigvarerlageret i en produktionsvirksomhed
</t>
        </r>
      </text>
    </comment>
    <comment ref="A18" authorId="2">
      <text>
        <r>
          <rPr>
            <b/>
            <sz val="8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b/>
            <sz val="16"/>
            <rFont val="Tahoma"/>
            <family val="2"/>
          </rPr>
          <t xml:space="preserve">Hvis der indtastes en kassekredit skal der også indtastes et max. Hvis intet max. er oplyst kan det sættes til saldoen på kassekreditten primo
</t>
        </r>
        <r>
          <rPr>
            <sz val="8"/>
            <rFont val="Tahoma"/>
            <family val="2"/>
          </rPr>
          <t xml:space="preserve">
</t>
        </r>
      </text>
    </comment>
    <comment ref="B24" authorId="3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</commentList>
</comments>
</file>

<file path=xl/comments14.xml><?xml version="1.0" encoding="utf-8"?>
<comments xmlns="http://schemas.openxmlformats.org/spreadsheetml/2006/main">
  <authors>
    <author>Roskilde Handelsskole</author>
  </authors>
  <commentList>
    <comment ref="F5" authorId="0">
      <text>
        <r>
          <rPr>
            <b/>
            <sz val="8"/>
            <rFont val="Tahoma"/>
            <family val="2"/>
          </rPr>
          <t xml:space="preserve">Faktisk afsætning gange budget pris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Faktisk afsætning gange budget pris
</t>
        </r>
      </text>
    </comment>
    <comment ref="E34" authorId="0">
      <text>
        <r>
          <rPr>
            <sz val="8"/>
            <rFont val="Tahoma"/>
            <family val="2"/>
          </rPr>
          <t xml:space="preserve">Der er mulighed for at indsætte 4 råvarer
</t>
        </r>
      </text>
    </comment>
    <comment ref="B41" authorId="0">
      <text>
        <r>
          <rPr>
            <b/>
            <sz val="8"/>
            <rFont val="Tahoma"/>
            <family val="2"/>
          </rPr>
          <t>Standardpris, dvs. hvad prisen er pr. stk/meter/kilo 
ifølge forkalkulationen</t>
        </r>
      </text>
    </comment>
    <comment ref="H41" authorId="0">
      <text>
        <r>
          <rPr>
            <b/>
            <sz val="8"/>
            <rFont val="Tahoma"/>
            <family val="2"/>
          </rPr>
          <t>Standardpris i produktionen, dvs. hvad det koster ifølge forkalkulationen at producere 1 stk.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Roskilde Handelsskole</author>
  </authors>
  <commentList>
    <comment ref="C115" authorId="0">
      <text>
        <r>
          <rPr>
            <sz val="20"/>
            <rFont val="Tahoma"/>
            <family val="2"/>
          </rPr>
          <t>Find prisen ud fra ovenstående tabeller via en cellereference. 
Træk derefter formlen ud til
kolonne J (celle J115)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Roskilde Handelsskole</author>
  </authors>
  <commentList>
    <comment ref="C115" authorId="0">
      <text>
        <r>
          <rPr>
            <sz val="20"/>
            <rFont val="Tahoma"/>
            <family val="2"/>
          </rPr>
          <t>Find prisen ud fra ovenstående tabeller via en cellereference. 
Træk derefter formlen ud til
kolonne J (celle J115)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<sst xmlns="http://schemas.openxmlformats.org/spreadsheetml/2006/main" count="559" uniqueCount="222">
  <si>
    <t>NPV, nutidsværdimetoden, kapitalværdienmetoden</t>
  </si>
  <si>
    <t>Den interne rente (IRR)</t>
  </si>
  <si>
    <t>Tilbagebetalingstiden i år (pay -back)</t>
  </si>
  <si>
    <t>Resultat</t>
  </si>
  <si>
    <t>Net Cash-Flow</t>
  </si>
  <si>
    <t>nutidsværdi</t>
  </si>
  <si>
    <t>omregnet til en annuitet</t>
  </si>
  <si>
    <t>år</t>
  </si>
  <si>
    <t>rente</t>
  </si>
  <si>
    <t>Tid / År</t>
  </si>
  <si>
    <t>Indbetalinger</t>
  </si>
  <si>
    <t>Udbetalinger</t>
  </si>
  <si>
    <r>
      <t>NPV omregnet til en  annuitet = ((1+r)</t>
    </r>
    <r>
      <rPr>
        <b/>
        <vertAlign val="superscript"/>
        <sz val="12"/>
        <rFont val="Arial"/>
        <family val="2"/>
      </rPr>
      <t xml:space="preserve">n </t>
    </r>
    <r>
      <rPr>
        <b/>
        <sz val="12"/>
        <rFont val="Arial"/>
        <family val="2"/>
      </rPr>
      <t>*r) / ((1+r)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>-1)</t>
    </r>
  </si>
  <si>
    <r>
      <t>Diskonteringsfaktoren Rentetabel 2  (1+r)</t>
    </r>
    <r>
      <rPr>
        <b/>
        <vertAlign val="superscript"/>
        <sz val="12"/>
        <rFont val="Arial"/>
        <family val="2"/>
      </rPr>
      <t>-n</t>
    </r>
  </si>
  <si>
    <r>
      <t>Diskonteringsfaktoren   (1+r)</t>
    </r>
    <r>
      <rPr>
        <b/>
        <vertAlign val="superscript"/>
        <sz val="12"/>
        <rFont val="Arial"/>
        <family val="2"/>
      </rPr>
      <t xml:space="preserve">-n </t>
    </r>
    <r>
      <rPr>
        <b/>
        <sz val="12"/>
        <rFont val="Arial"/>
        <family val="2"/>
      </rPr>
      <t>ved IRR</t>
    </r>
  </si>
  <si>
    <t>Kommentarer:</t>
  </si>
  <si>
    <r>
      <t xml:space="preserve">Nutidsværdi </t>
    </r>
    <r>
      <rPr>
        <b/>
        <vertAlign val="superscript"/>
        <sz val="12"/>
        <rFont val="Arial"/>
        <family val="2"/>
      </rPr>
      <t xml:space="preserve"> Diskonteringsfaktoren * Net cash-flow</t>
    </r>
  </si>
  <si>
    <t>Annuitetsmetoden (Det årlige resultat)/PMT</t>
  </si>
  <si>
    <t>Opgave 2.1 , 2.2</t>
  </si>
  <si>
    <t>2.3</t>
  </si>
  <si>
    <t>Kan løses ved at man fører den negative nutidsværdi NPV frem til år 10. Det gøres ved 253.015,69 / 0,38554 =</t>
  </si>
  <si>
    <t>Dette tal skal så lægges til de 750.000 for at få minimumskravet til scrapværdi</t>
  </si>
  <si>
    <t>Mindste scrapværdi, der vil kunne accepteres er, (se evt. test på næste side)</t>
  </si>
  <si>
    <t>2.4</t>
  </si>
  <si>
    <t>Afsætningsmæssigefordele:</t>
  </si>
  <si>
    <t>Afsætningsmæssigefordele: Fleksibilitet, hurtige skift ved produktionsændring, hurtig tilpasning til ændringer i efterspørgslen, mersalg, mindre lagre</t>
  </si>
  <si>
    <t>Ændring pris</t>
  </si>
  <si>
    <t>Ændring mængde</t>
  </si>
  <si>
    <t>Omsætning</t>
  </si>
  <si>
    <t>Vareforbrug</t>
  </si>
  <si>
    <t>Bruttofortjeneste</t>
  </si>
  <si>
    <t>Salgsprovision</t>
  </si>
  <si>
    <t>Dækningsbidrag</t>
  </si>
  <si>
    <t>Salgsfremmende omk.</t>
  </si>
  <si>
    <t>Markedsføringsbidrag</t>
  </si>
  <si>
    <t>Kontantekapacitets omk.</t>
  </si>
  <si>
    <t>Lokale omk.</t>
  </si>
  <si>
    <t>Gager</t>
  </si>
  <si>
    <t>Øvrige omk.</t>
  </si>
  <si>
    <t>Indtjeningsbidrag</t>
  </si>
  <si>
    <t>Afskrivninger</t>
  </si>
  <si>
    <t>Resultat før renter</t>
  </si>
  <si>
    <t>Renteomkostninger</t>
  </si>
  <si>
    <t>Renteindtægter</t>
  </si>
  <si>
    <t>Resultat før eks. omk.</t>
  </si>
  <si>
    <t>Ekstraordinære omk.</t>
  </si>
  <si>
    <t>Resultat før skat</t>
  </si>
  <si>
    <t>Skat</t>
  </si>
  <si>
    <t>Resultat fordeling</t>
  </si>
  <si>
    <t>Udbytte</t>
  </si>
  <si>
    <t>Reserver</t>
  </si>
  <si>
    <t>Ændring</t>
  </si>
  <si>
    <t>Kassekredit max.</t>
  </si>
  <si>
    <t xml:space="preserve">Beregningerne er foretaget </t>
  </si>
  <si>
    <t>Aktie emmision</t>
  </si>
  <si>
    <t>Budgetteret Balance</t>
  </si>
  <si>
    <t>Aktiver:</t>
  </si>
  <si>
    <t>Passiver:</t>
  </si>
  <si>
    <t>Anlægsaktiver:</t>
  </si>
  <si>
    <t>køb</t>
  </si>
  <si>
    <t>Afskrivning</t>
  </si>
  <si>
    <t>Egenkapital:</t>
  </si>
  <si>
    <t>Ejendom</t>
  </si>
  <si>
    <t>Maskiner &amp; inventar</t>
  </si>
  <si>
    <t>overført overskud</t>
  </si>
  <si>
    <t>Egenkapital ultimo</t>
  </si>
  <si>
    <t>Hensættelser</t>
  </si>
  <si>
    <t>Tekniske anlæg</t>
  </si>
  <si>
    <t>Langfristet gæld:</t>
  </si>
  <si>
    <t>Nyt lån til investeringer</t>
  </si>
  <si>
    <t>Prioritetegæld</t>
  </si>
  <si>
    <t>Biler</t>
  </si>
  <si>
    <t>Realkreditinstitutter</t>
  </si>
  <si>
    <t>Anlægsaktiver i alt</t>
  </si>
  <si>
    <t>Langfristet gæld i alt</t>
  </si>
  <si>
    <t xml:space="preserve">Omsætningsaktiver: </t>
  </si>
  <si>
    <t>Kortfristet gæld:</t>
  </si>
  <si>
    <t>Varekreditorer</t>
  </si>
  <si>
    <t>Forudbetalinger</t>
  </si>
  <si>
    <t>Varedebitorer</t>
  </si>
  <si>
    <t>Anden gæld</t>
  </si>
  <si>
    <t>Periodeafg.</t>
  </si>
  <si>
    <t>-</t>
  </si>
  <si>
    <t>Værdipapirer</t>
  </si>
  <si>
    <t>Øvrig kortfristet gæld</t>
  </si>
  <si>
    <t>Andre debitorer</t>
  </si>
  <si>
    <t>Likvide midler</t>
  </si>
  <si>
    <t xml:space="preserve">Omsætningsaktiver i alt </t>
  </si>
  <si>
    <t>Kortfristet gæld i alt</t>
  </si>
  <si>
    <t>Aktiver i alt</t>
  </si>
  <si>
    <t>Passiver i alt</t>
  </si>
  <si>
    <t>Omsætningshastigheder:</t>
  </si>
  <si>
    <t>Formel:</t>
  </si>
  <si>
    <t>*Varekøb  =</t>
  </si>
  <si>
    <t xml:space="preserve">Likviditetsbudget </t>
  </si>
  <si>
    <t>Ændringer i omsætningsaktiver:</t>
  </si>
  <si>
    <t>Primo</t>
  </si>
  <si>
    <t>Ultimo</t>
  </si>
  <si>
    <t>Ændringer i kortfristet gæld:</t>
  </si>
  <si>
    <t>Driftens likviditetsvirkning</t>
  </si>
  <si>
    <t>Anlægsinvesteringer:</t>
  </si>
  <si>
    <t>Køb af anlægsaktiver</t>
  </si>
  <si>
    <t>Finansielle indbetalinger:</t>
  </si>
  <si>
    <t>Finansielle udbetalinger:</t>
  </si>
  <si>
    <t>Periodens Likviditetsforskydning</t>
  </si>
  <si>
    <t>Likvide beholdninger Primo:</t>
  </si>
  <si>
    <t>Træk på kassekredit</t>
  </si>
  <si>
    <t>likvide beholdninger</t>
  </si>
  <si>
    <t>Likvide beholdninger Ultimo</t>
  </si>
  <si>
    <t>Opgave 4</t>
  </si>
  <si>
    <t>juli kvartal 2009</t>
  </si>
  <si>
    <t>Faktisk afsætning</t>
  </si>
  <si>
    <t xml:space="preserve">Faktisk pris </t>
  </si>
  <si>
    <t>Budget afsætning</t>
  </si>
  <si>
    <t>Budget pris</t>
  </si>
  <si>
    <t>Aktuelt</t>
  </si>
  <si>
    <t>Budget</t>
  </si>
  <si>
    <t>Afvigelse</t>
  </si>
  <si>
    <t>Standard omsætning</t>
  </si>
  <si>
    <t>Standard vareforbrug</t>
  </si>
  <si>
    <t>Standard bruttofortjeneste</t>
  </si>
  <si>
    <t>Standard salgsprovision</t>
  </si>
  <si>
    <t>Faktisk oms - (faktisk afs. * budget pris)</t>
  </si>
  <si>
    <t>F. salgsp - (faktisk afs. * B. salgsprov)</t>
  </si>
  <si>
    <t>Noter:</t>
  </si>
  <si>
    <t>+ tilgang</t>
  </si>
  <si>
    <t>- afgang</t>
  </si>
  <si>
    <t>Ultimo beholdning</t>
  </si>
  <si>
    <t>Ultimo behold.</t>
  </si>
  <si>
    <t>Faktisk ultimobeholdning</t>
  </si>
  <si>
    <t>Faktisk behold.</t>
  </si>
  <si>
    <t>Afvigelse i mængde</t>
  </si>
  <si>
    <t>Standardpris</t>
  </si>
  <si>
    <t xml:space="preserve">Standardforbrug </t>
  </si>
  <si>
    <t>Afvigelse i kr.</t>
  </si>
  <si>
    <t>Afvigelse i kr. / total</t>
  </si>
  <si>
    <t>Total</t>
  </si>
  <si>
    <t>Faktisk indkøb i kr</t>
  </si>
  <si>
    <t>Faktisk indkøb i mængde</t>
  </si>
  <si>
    <t>Faktisk indkøb * standardpris</t>
  </si>
  <si>
    <t>Faktisk pris</t>
  </si>
  <si>
    <t>Standardomkostningskontrol i produktionsafdelingen for juli kvartal 2009</t>
  </si>
  <si>
    <t>Standard DB, LAVA</t>
  </si>
  <si>
    <t>Standard DB MAGNUM</t>
  </si>
  <si>
    <t>Salgsprisafvigelse LAVA</t>
  </si>
  <si>
    <t>Salgsprisafvigelse Magnum</t>
  </si>
  <si>
    <t>Indkøbs og lønafvigelser på Råvarer, løn og æsker</t>
  </si>
  <si>
    <t>Produktionsafvigelsen</t>
  </si>
  <si>
    <t>Salgsprovision afvigelse LAVA</t>
  </si>
  <si>
    <t>Salgsprovision afvigelse MAGNUM</t>
  </si>
  <si>
    <t>Samlet afvigelse</t>
  </si>
  <si>
    <t>råvarer Lava</t>
  </si>
  <si>
    <t>Råvarer magnum</t>
  </si>
  <si>
    <t>Arbejdstimer</t>
  </si>
  <si>
    <t>Emballage</t>
  </si>
  <si>
    <t>Lager af emballage /æsker</t>
  </si>
  <si>
    <t>indkøbs og lønafvigelser på:</t>
  </si>
  <si>
    <t>Råvarer</t>
  </si>
  <si>
    <t>Løn</t>
  </si>
  <si>
    <t>Æsker</t>
  </si>
  <si>
    <t>Prisoptimering</t>
  </si>
  <si>
    <t>Produkt :</t>
  </si>
  <si>
    <t>DK</t>
  </si>
  <si>
    <t>Produktionstid:</t>
  </si>
  <si>
    <t>stk. pr. time</t>
  </si>
  <si>
    <t>Navn</t>
  </si>
  <si>
    <t>Nr.</t>
  </si>
  <si>
    <t>Pris</t>
  </si>
  <si>
    <t>Afsætning</t>
  </si>
  <si>
    <t>VE</t>
  </si>
  <si>
    <t>VO</t>
  </si>
  <si>
    <t>DB</t>
  </si>
  <si>
    <t>KO,faste</t>
  </si>
  <si>
    <t>Overskud</t>
  </si>
  <si>
    <t>DB pr stk.</t>
  </si>
  <si>
    <t xml:space="preserve">Tidsforbrug </t>
  </si>
  <si>
    <t>DB pr time</t>
  </si>
  <si>
    <t>Differensbidrag pr. time</t>
  </si>
  <si>
    <t>ekstra timer</t>
  </si>
  <si>
    <t xml:space="preserve">Optimum </t>
  </si>
  <si>
    <t>i overskud</t>
  </si>
  <si>
    <t>Optimal pris</t>
  </si>
  <si>
    <t>Optimal mængde</t>
  </si>
  <si>
    <t>Tysk</t>
  </si>
  <si>
    <t>Ekstra timer</t>
  </si>
  <si>
    <t>Optimeringstabel</t>
  </si>
  <si>
    <t>Maks kapacitet</t>
  </si>
  <si>
    <t>timer</t>
  </si>
  <si>
    <t>Prioritet</t>
  </si>
  <si>
    <t>Dif.bidrag</t>
  </si>
  <si>
    <t>Produkt</t>
  </si>
  <si>
    <t>Ekstra timeforbrug</t>
  </si>
  <si>
    <t>Akk. timeforbrug</t>
  </si>
  <si>
    <t>Produktion</t>
  </si>
  <si>
    <t>1 prioritet</t>
  </si>
  <si>
    <t>2 prioritet</t>
  </si>
  <si>
    <t>3 prioritet</t>
  </si>
  <si>
    <t>4 prioritet</t>
  </si>
  <si>
    <t>5 prioritet</t>
  </si>
  <si>
    <t>6 prioritet</t>
  </si>
  <si>
    <t>7 prioritet</t>
  </si>
  <si>
    <t>8 prioritet</t>
  </si>
  <si>
    <t>9 prioritet</t>
  </si>
  <si>
    <t>10 prioritet</t>
  </si>
  <si>
    <t>11 prioritet</t>
  </si>
  <si>
    <t>12 prioritet</t>
  </si>
  <si>
    <t>Afsætningsplan:</t>
  </si>
  <si>
    <t>Produkt:</t>
  </si>
  <si>
    <t>FO</t>
  </si>
  <si>
    <t>-faste omkostninger</t>
  </si>
  <si>
    <t>I alt</t>
  </si>
  <si>
    <t>Mindste /sortering</t>
  </si>
  <si>
    <t>Største dif. Bidrag</t>
  </si>
  <si>
    <t>Akk time forbrug</t>
  </si>
  <si>
    <t>Nej</t>
  </si>
  <si>
    <t>nej</t>
  </si>
  <si>
    <t>omkostninger til overarbejde</t>
  </si>
  <si>
    <t>Dk</t>
  </si>
  <si>
    <t>Sverige</t>
  </si>
  <si>
    <t>-overarbejde</t>
  </si>
  <si>
    <t>korrigeret DB</t>
  </si>
  <si>
    <t>-faste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</si>
</sst>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kr&quot;\ #,##0.0_);[Red]\(&quot;kr&quot;\ #,##0.0\)"/>
    <numFmt numFmtId="175" formatCode="&quot;kr&quot;\ #,##0.000_);[Red]\(&quot;kr&quot;\ #,##0.000\)"/>
    <numFmt numFmtId="176" formatCode="&quot;kr&quot;\ #,##0.0000_);[Red]\(&quot;kr&quot;\ #,##0.0000\)"/>
    <numFmt numFmtId="177" formatCode="0.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0.0000%"/>
    <numFmt numFmtId="187" formatCode="0.00000%"/>
    <numFmt numFmtId="188" formatCode="0.000000%"/>
    <numFmt numFmtId="189" formatCode="#,##0.0"/>
    <numFmt numFmtId="190" formatCode="#,##0.000"/>
    <numFmt numFmtId="191" formatCode="#,##0.0000"/>
    <numFmt numFmtId="192" formatCode="#,##0.00000"/>
    <numFmt numFmtId="193" formatCode="_(* #,##0.000_);_(* \(#,##0.000\);_(* &quot;-&quot;??_);_(@_)"/>
  </numFmts>
  <fonts count="6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"/>
      <color indexed="13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i/>
      <sz val="16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Arial"/>
      <family val="2"/>
    </font>
    <font>
      <b/>
      <sz val="16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sz val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3" borderId="2" applyNumberFormat="0" applyAlignment="0" applyProtection="0"/>
    <xf numFmtId="0" fontId="49" fillId="24" borderId="3" applyNumberFormat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left" indent="1"/>
    </xf>
    <xf numFmtId="10" fontId="2" fillId="33" borderId="0" xfId="0" applyNumberFormat="1" applyFont="1" applyFill="1" applyAlignment="1">
      <alignment horizontal="left" indent="1"/>
    </xf>
    <xf numFmtId="0" fontId="5" fillId="0" borderId="10" xfId="0" applyFont="1" applyBorder="1" applyAlignment="1">
      <alignment wrapText="1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1" fillId="34" borderId="16" xfId="0" applyFont="1" applyFill="1" applyBorder="1" applyAlignment="1">
      <alignment/>
    </xf>
    <xf numFmtId="10" fontId="1" fillId="34" borderId="11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0" xfId="0" applyNumberFormat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92" fontId="1" fillId="0" borderId="12" xfId="0" applyNumberFormat="1" applyFont="1" applyBorder="1" applyAlignment="1">
      <alignment horizontal="right"/>
    </xf>
    <xf numFmtId="40" fontId="1" fillId="0" borderId="0" xfId="0" applyNumberFormat="1" applyFont="1" applyFill="1" applyBorder="1" applyAlignment="1">
      <alignment/>
    </xf>
    <xf numFmtId="192" fontId="1" fillId="0" borderId="13" xfId="0" applyNumberFormat="1" applyFont="1" applyBorder="1" applyAlignment="1">
      <alignment horizontal="right"/>
    </xf>
    <xf numFmtId="192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34" borderId="21" xfId="0" applyNumberFormat="1" applyFont="1" applyFill="1" applyBorder="1" applyAlignment="1">
      <alignment/>
    </xf>
    <xf numFmtId="40" fontId="1" fillId="34" borderId="14" xfId="0" applyNumberFormat="1" applyFont="1" applyFill="1" applyBorder="1" applyAlignment="1">
      <alignment/>
    </xf>
    <xf numFmtId="173" fontId="0" fillId="0" borderId="0" xfId="15" applyNumberFormat="1" applyFont="1" applyAlignment="1">
      <alignment/>
    </xf>
    <xf numFmtId="193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0" fontId="0" fillId="0" borderId="23" xfId="0" applyBorder="1" applyAlignment="1">
      <alignment/>
    </xf>
    <xf numFmtId="0" fontId="0" fillId="35" borderId="24" xfId="0" applyFill="1" applyBorder="1" applyAlignment="1">
      <alignment/>
    </xf>
    <xf numFmtId="49" fontId="0" fillId="0" borderId="24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173" fontId="0" fillId="35" borderId="26" xfId="16" applyNumberFormat="1" applyFont="1" applyFill="1" applyBorder="1" applyAlignment="1">
      <alignment/>
    </xf>
    <xf numFmtId="2" fontId="0" fillId="35" borderId="26" xfId="0" applyNumberFormat="1" applyFill="1" applyBorder="1" applyAlignment="1">
      <alignment/>
    </xf>
    <xf numFmtId="173" fontId="0" fillId="0" borderId="27" xfId="16" applyNumberFormat="1" applyFont="1" applyBorder="1" applyAlignment="1">
      <alignment/>
    </xf>
    <xf numFmtId="0" fontId="0" fillId="35" borderId="17" xfId="0" applyFill="1" applyBorder="1" applyAlignment="1">
      <alignment/>
    </xf>
    <xf numFmtId="183" fontId="0" fillId="35" borderId="26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10" fillId="0" borderId="28" xfId="0" applyFont="1" applyBorder="1" applyAlignment="1">
      <alignment/>
    </xf>
    <xf numFmtId="173" fontId="10" fillId="0" borderId="29" xfId="16" applyNumberFormat="1" applyFont="1" applyBorder="1" applyAlignment="1">
      <alignment/>
    </xf>
    <xf numFmtId="2" fontId="10" fillId="0" borderId="29" xfId="0" applyNumberFormat="1" applyFont="1" applyBorder="1" applyAlignment="1">
      <alignment/>
    </xf>
    <xf numFmtId="173" fontId="10" fillId="0" borderId="30" xfId="16" applyNumberFormat="1" applyFont="1" applyBorder="1" applyAlignment="1">
      <alignment/>
    </xf>
    <xf numFmtId="173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184" fontId="0" fillId="35" borderId="26" xfId="0" applyNumberFormat="1" applyFill="1" applyBorder="1" applyAlignment="1">
      <alignment/>
    </xf>
    <xf numFmtId="173" fontId="0" fillId="0" borderId="29" xfId="16" applyNumberFormat="1" applyFont="1" applyBorder="1" applyAlignment="1">
      <alignment/>
    </xf>
    <xf numFmtId="2" fontId="0" fillId="0" borderId="29" xfId="0" applyNumberFormat="1" applyBorder="1" applyAlignment="1">
      <alignment/>
    </xf>
    <xf numFmtId="173" fontId="0" fillId="0" borderId="30" xfId="16" applyNumberFormat="1" applyFont="1" applyBorder="1" applyAlignment="1">
      <alignment/>
    </xf>
    <xf numFmtId="173" fontId="0" fillId="35" borderId="29" xfId="16" applyNumberFormat="1" applyFont="1" applyFill="1" applyBorder="1" applyAlignment="1">
      <alignment/>
    </xf>
    <xf numFmtId="2" fontId="0" fillId="0" borderId="31" xfId="0" applyNumberFormat="1" applyBorder="1" applyAlignment="1">
      <alignment/>
    </xf>
    <xf numFmtId="9" fontId="0" fillId="35" borderId="32" xfId="60" applyFont="1" applyFill="1" applyBorder="1" applyAlignment="1">
      <alignment/>
    </xf>
    <xf numFmtId="0" fontId="10" fillId="0" borderId="33" xfId="0" applyFont="1" applyBorder="1" applyAlignment="1">
      <alignment/>
    </xf>
    <xf numFmtId="173" fontId="0" fillId="0" borderId="34" xfId="16" applyNumberFormat="1" applyFont="1" applyBorder="1" applyAlignment="1">
      <alignment/>
    </xf>
    <xf numFmtId="2" fontId="0" fillId="0" borderId="35" xfId="0" applyNumberFormat="1" applyBorder="1" applyAlignment="1">
      <alignment/>
    </xf>
    <xf numFmtId="173" fontId="0" fillId="0" borderId="36" xfId="16" applyNumberFormat="1" applyFont="1" applyBorder="1" applyAlignment="1">
      <alignment/>
    </xf>
    <xf numFmtId="0" fontId="10" fillId="0" borderId="0" xfId="0" applyFont="1" applyAlignment="1">
      <alignment/>
    </xf>
    <xf numFmtId="173" fontId="0" fillId="35" borderId="0" xfId="16" applyNumberFormat="1" applyFont="1" applyFill="1" applyAlignment="1">
      <alignment/>
    </xf>
    <xf numFmtId="173" fontId="0" fillId="0" borderId="37" xfId="16" applyNumberFormat="1" applyFont="1" applyBorder="1" applyAlignment="1">
      <alignment/>
    </xf>
    <xf numFmtId="173" fontId="0" fillId="0" borderId="38" xfId="16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3" fontId="0" fillId="35" borderId="0" xfId="16" applyNumberFormat="1" applyFont="1" applyFill="1" applyAlignment="1">
      <alignment/>
    </xf>
    <xf numFmtId="173" fontId="0" fillId="0" borderId="0" xfId="16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0" fillId="0" borderId="39" xfId="0" applyFont="1" applyFill="1" applyBorder="1" applyAlignment="1">
      <alignment/>
    </xf>
    <xf numFmtId="173" fontId="0" fillId="0" borderId="40" xfId="16" applyNumberFormat="1" applyFont="1" applyBorder="1" applyAlignment="1">
      <alignment/>
    </xf>
    <xf numFmtId="173" fontId="0" fillId="0" borderId="42" xfId="16" applyNumberFormat="1" applyFont="1" applyBorder="1" applyAlignment="1">
      <alignment/>
    </xf>
    <xf numFmtId="173" fontId="0" fillId="0" borderId="26" xfId="16" applyNumberFormat="1" applyFont="1" applyBorder="1" applyAlignment="1">
      <alignment/>
    </xf>
    <xf numFmtId="173" fontId="0" fillId="0" borderId="0" xfId="16" applyNumberFormat="1" applyFont="1" applyBorder="1" applyAlignment="1">
      <alignment/>
    </xf>
    <xf numFmtId="0" fontId="10" fillId="0" borderId="43" xfId="0" applyFont="1" applyFill="1" applyBorder="1" applyAlignment="1">
      <alignment/>
    </xf>
    <xf numFmtId="173" fontId="0" fillId="35" borderId="38" xfId="16" applyNumberFormat="1" applyFont="1" applyFill="1" applyBorder="1" applyAlignment="1">
      <alignment/>
    </xf>
    <xf numFmtId="173" fontId="0" fillId="0" borderId="44" xfId="16" applyNumberFormat="1" applyFont="1" applyBorder="1" applyAlignment="1">
      <alignment/>
    </xf>
    <xf numFmtId="0" fontId="0" fillId="0" borderId="17" xfId="0" applyNumberFormat="1" applyBorder="1" applyAlignment="1">
      <alignment/>
    </xf>
    <xf numFmtId="173" fontId="0" fillId="35" borderId="0" xfId="16" applyNumberFormat="1" applyFont="1" applyFill="1" applyBorder="1" applyAlignment="1">
      <alignment/>
    </xf>
    <xf numFmtId="173" fontId="0" fillId="0" borderId="20" xfId="16" applyNumberFormat="1" applyFont="1" applyBorder="1" applyAlignment="1">
      <alignment/>
    </xf>
    <xf numFmtId="173" fontId="0" fillId="35" borderId="20" xfId="16" applyNumberFormat="1" applyFont="1" applyFill="1" applyBorder="1" applyAlignment="1">
      <alignment/>
    </xf>
    <xf numFmtId="49" fontId="0" fillId="0" borderId="28" xfId="0" applyNumberFormat="1" applyBorder="1" applyAlignment="1">
      <alignment/>
    </xf>
    <xf numFmtId="173" fontId="0" fillId="0" borderId="45" xfId="16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73" fontId="10" fillId="0" borderId="29" xfId="16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173" fontId="0" fillId="0" borderId="47" xfId="16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35" borderId="26" xfId="0" applyFill="1" applyBorder="1" applyAlignment="1">
      <alignment/>
    </xf>
    <xf numFmtId="173" fontId="0" fillId="0" borderId="0" xfId="16" applyNumberFormat="1" applyFont="1" applyFill="1" applyBorder="1" applyAlignment="1">
      <alignment/>
    </xf>
    <xf numFmtId="173" fontId="10" fillId="0" borderId="46" xfId="16" applyNumberFormat="1" applyFont="1" applyFill="1" applyBorder="1" applyAlignment="1">
      <alignment/>
    </xf>
    <xf numFmtId="173" fontId="10" fillId="0" borderId="38" xfId="16" applyNumberFormat="1" applyFont="1" applyFill="1" applyBorder="1" applyAlignment="1">
      <alignment/>
    </xf>
    <xf numFmtId="0" fontId="10" fillId="0" borderId="49" xfId="0" applyFont="1" applyFill="1" applyBorder="1" applyAlignment="1">
      <alignment/>
    </xf>
    <xf numFmtId="173" fontId="0" fillId="0" borderId="50" xfId="16" applyNumberFormat="1" applyFont="1" applyBorder="1" applyAlignment="1">
      <alignment/>
    </xf>
    <xf numFmtId="173" fontId="0" fillId="0" borderId="51" xfId="16" applyNumberFormat="1" applyFont="1" applyBorder="1" applyAlignment="1">
      <alignment/>
    </xf>
    <xf numFmtId="0" fontId="10" fillId="0" borderId="33" xfId="0" applyFont="1" applyFill="1" applyBorder="1" applyAlignment="1">
      <alignment/>
    </xf>
    <xf numFmtId="173" fontId="10" fillId="0" borderId="52" xfId="16" applyNumberFormat="1" applyFont="1" applyFill="1" applyBorder="1" applyAlignment="1">
      <alignment/>
    </xf>
    <xf numFmtId="173" fontId="10" fillId="0" borderId="35" xfId="16" applyNumberFormat="1" applyFont="1" applyFill="1" applyBorder="1" applyAlignment="1">
      <alignment/>
    </xf>
    <xf numFmtId="173" fontId="10" fillId="0" borderId="35" xfId="16" applyNumberFormat="1" applyFont="1" applyBorder="1" applyAlignment="1">
      <alignment/>
    </xf>
    <xf numFmtId="173" fontId="0" fillId="0" borderId="35" xfId="16" applyNumberFormat="1" applyFont="1" applyBorder="1" applyAlignment="1">
      <alignment/>
    </xf>
    <xf numFmtId="173" fontId="10" fillId="0" borderId="53" xfId="16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16" applyNumberFormat="1" applyFont="1" applyFill="1" applyBorder="1" applyAlignment="1">
      <alignment/>
    </xf>
    <xf numFmtId="173" fontId="0" fillId="0" borderId="0" xfId="16" applyNumberFormat="1" applyFont="1" applyBorder="1" applyAlignment="1">
      <alignment horizontal="center"/>
    </xf>
    <xf numFmtId="173" fontId="10" fillId="0" borderId="0" xfId="16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0" xfId="16" applyNumberFormat="1" applyFont="1" applyBorder="1" applyAlignment="1">
      <alignment horizontal="left"/>
    </xf>
    <xf numFmtId="171" fontId="0" fillId="0" borderId="0" xfId="0" applyNumberFormat="1" applyAlignment="1">
      <alignment/>
    </xf>
    <xf numFmtId="173" fontId="0" fillId="0" borderId="15" xfId="0" applyNumberFormat="1" applyBorder="1" applyAlignment="1">
      <alignment/>
    </xf>
    <xf numFmtId="171" fontId="0" fillId="0" borderId="0" xfId="16" applyFont="1" applyAlignment="1">
      <alignment/>
    </xf>
    <xf numFmtId="177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3" fontId="8" fillId="0" borderId="0" xfId="16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16" applyNumberFormat="1" applyFont="1" applyAlignment="1">
      <alignment/>
    </xf>
    <xf numFmtId="0" fontId="1" fillId="0" borderId="0" xfId="0" applyFont="1" applyAlignment="1">
      <alignment/>
    </xf>
    <xf numFmtId="3" fontId="8" fillId="0" borderId="37" xfId="16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8" fillId="0" borderId="3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3" fontId="8" fillId="0" borderId="35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73" fontId="1" fillId="0" borderId="0" xfId="16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54" xfId="0" applyBorder="1" applyAlignment="1">
      <alignment/>
    </xf>
    <xf numFmtId="49" fontId="0" fillId="0" borderId="22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0" fillId="34" borderId="55" xfId="0" applyFill="1" applyBorder="1" applyAlignment="1">
      <alignment/>
    </xf>
    <xf numFmtId="189" fontId="0" fillId="34" borderId="20" xfId="0" applyNumberFormat="1" applyFill="1" applyBorder="1" applyAlignment="1">
      <alignment/>
    </xf>
    <xf numFmtId="189" fontId="0" fillId="0" borderId="17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0" xfId="0" applyNumberFormat="1" applyBorder="1" applyAlignment="1">
      <alignment/>
    </xf>
    <xf numFmtId="189" fontId="0" fillId="0" borderId="20" xfId="0" applyNumberFormat="1" applyFill="1" applyBorder="1" applyAlignment="1">
      <alignment/>
    </xf>
    <xf numFmtId="18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/>
    </xf>
    <xf numFmtId="189" fontId="0" fillId="0" borderId="18" xfId="0" applyNumberForma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21" xfId="0" applyNumberFormat="1" applyBorder="1" applyAlignment="1">
      <alignment/>
    </xf>
    <xf numFmtId="173" fontId="0" fillId="0" borderId="0" xfId="16" applyNumberFormat="1" applyAlignment="1">
      <alignment/>
    </xf>
    <xf numFmtId="0" fontId="0" fillId="0" borderId="54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54" xfId="0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55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20" fillId="0" borderId="18" xfId="0" applyFont="1" applyFill="1" applyBorder="1" applyAlignment="1">
      <alignment/>
    </xf>
    <xf numFmtId="173" fontId="0" fillId="0" borderId="15" xfId="16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13" xfId="0" applyFill="1" applyBorder="1" applyAlignment="1">
      <alignment/>
    </xf>
    <xf numFmtId="189" fontId="0" fillId="34" borderId="17" xfId="0" applyNumberFormat="1" applyFill="1" applyBorder="1" applyAlignment="1">
      <alignment/>
    </xf>
    <xf numFmtId="189" fontId="0" fillId="34" borderId="12" xfId="0" applyNumberFormat="1" applyFill="1" applyBorder="1" applyAlignment="1">
      <alignment/>
    </xf>
    <xf numFmtId="189" fontId="0" fillId="0" borderId="17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34" borderId="2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 horizontal="right"/>
    </xf>
    <xf numFmtId="189" fontId="0" fillId="0" borderId="18" xfId="0" applyNumberFormat="1" applyBorder="1" applyAlignment="1">
      <alignment/>
    </xf>
    <xf numFmtId="189" fontId="0" fillId="0" borderId="14" xfId="0" applyNumberFormat="1" applyBorder="1" applyAlignment="1">
      <alignment/>
    </xf>
    <xf numFmtId="0" fontId="0" fillId="0" borderId="13" xfId="0" applyFill="1" applyBorder="1" applyAlignment="1">
      <alignment/>
    </xf>
    <xf numFmtId="3" fontId="0" fillId="0" borderId="22" xfId="0" applyNumberFormat="1" applyFill="1" applyBorder="1" applyAlignment="1">
      <alignment horizontal="left"/>
    </xf>
    <xf numFmtId="189" fontId="0" fillId="0" borderId="12" xfId="16" applyNumberFormat="1" applyFill="1" applyBorder="1" applyAlignment="1">
      <alignment horizontal="right"/>
    </xf>
    <xf numFmtId="189" fontId="0" fillId="0" borderId="0" xfId="16" applyNumberFormat="1" applyFill="1" applyBorder="1" applyAlignment="1">
      <alignment horizontal="right"/>
    </xf>
    <xf numFmtId="189" fontId="0" fillId="0" borderId="20" xfId="0" applyNumberFormat="1" applyFill="1" applyBorder="1" applyAlignment="1">
      <alignment horizontal="right"/>
    </xf>
    <xf numFmtId="4" fontId="0" fillId="0" borderId="12" xfId="16" applyNumberFormat="1" applyFill="1" applyBorder="1" applyAlignment="1">
      <alignment horizontal="right"/>
    </xf>
    <xf numFmtId="191" fontId="0" fillId="0" borderId="12" xfId="16" applyNumberFormat="1" applyFill="1" applyBorder="1" applyAlignment="1">
      <alignment horizontal="right"/>
    </xf>
    <xf numFmtId="189" fontId="0" fillId="0" borderId="14" xfId="0" applyNumberFormat="1" applyFill="1" applyBorder="1" applyAlignment="1">
      <alignment horizontal="right"/>
    </xf>
    <xf numFmtId="189" fontId="0" fillId="0" borderId="15" xfId="0" applyNumberFormat="1" applyFill="1" applyBorder="1" applyAlignment="1">
      <alignment horizontal="right"/>
    </xf>
    <xf numFmtId="189" fontId="0" fillId="0" borderId="15" xfId="16" applyNumberFormat="1" applyFill="1" applyBorder="1" applyAlignment="1">
      <alignment horizontal="right"/>
    </xf>
    <xf numFmtId="189" fontId="0" fillId="0" borderId="21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73" fontId="0" fillId="35" borderId="0" xfId="16" applyNumberFormat="1" applyFont="1" applyFill="1" applyAlignment="1">
      <alignment horizontal="center"/>
    </xf>
    <xf numFmtId="9" fontId="10" fillId="35" borderId="0" xfId="0" applyNumberFormat="1" applyFont="1" applyFill="1" applyAlignment="1">
      <alignment/>
    </xf>
    <xf numFmtId="173" fontId="0" fillId="35" borderId="0" xfId="16" applyNumberFormat="1" applyFont="1" applyFill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173" fontId="0" fillId="35" borderId="48" xfId="16" applyNumberFormat="1" applyFont="1" applyFill="1" applyBorder="1" applyAlignment="1">
      <alignment horizontal="center"/>
    </xf>
    <xf numFmtId="173" fontId="0" fillId="35" borderId="56" xfId="16" applyNumberFormat="1" applyFont="1" applyFill="1" applyBorder="1" applyAlignment="1">
      <alignment horizontal="center"/>
    </xf>
    <xf numFmtId="173" fontId="0" fillId="0" borderId="48" xfId="16" applyNumberFormat="1" applyFont="1" applyBorder="1" applyAlignment="1">
      <alignment horizontal="center"/>
    </xf>
    <xf numFmtId="173" fontId="0" fillId="0" borderId="56" xfId="16" applyNumberFormat="1" applyFont="1" applyBorder="1" applyAlignment="1">
      <alignment horizontal="center"/>
    </xf>
    <xf numFmtId="173" fontId="0" fillId="0" borderId="46" xfId="16" applyNumberFormat="1" applyFont="1" applyBorder="1" applyAlignment="1">
      <alignment horizontal="center"/>
    </xf>
    <xf numFmtId="173" fontId="0" fillId="0" borderId="57" xfId="16" applyNumberFormat="1" applyFont="1" applyBorder="1" applyAlignment="1">
      <alignment horizontal="center"/>
    </xf>
    <xf numFmtId="173" fontId="0" fillId="0" borderId="52" xfId="16" applyNumberFormat="1" applyFont="1" applyBorder="1" applyAlignment="1">
      <alignment horizontal="center"/>
    </xf>
    <xf numFmtId="173" fontId="0" fillId="0" borderId="58" xfId="16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0" xfId="53">
      <alignment/>
      <protection/>
    </xf>
    <xf numFmtId="0" fontId="8" fillId="0" borderId="0" xfId="53" applyFont="1">
      <alignment/>
      <protection/>
    </xf>
    <xf numFmtId="0" fontId="5" fillId="0" borderId="0" xfId="53" applyFont="1">
      <alignment/>
      <protection/>
    </xf>
    <xf numFmtId="0" fontId="2" fillId="34" borderId="0" xfId="53" applyFont="1" applyFill="1" applyAlignment="1">
      <alignment horizontal="center"/>
      <protection/>
    </xf>
    <xf numFmtId="0" fontId="10" fillId="0" borderId="10" xfId="53" applyFont="1" applyBorder="1">
      <alignment/>
      <protection/>
    </xf>
    <xf numFmtId="0" fontId="38" fillId="0" borderId="59" xfId="53" applyFont="1" applyBorder="1">
      <alignment/>
      <protection/>
    </xf>
    <xf numFmtId="0" fontId="38" fillId="0" borderId="60" xfId="53" applyFont="1" applyBorder="1">
      <alignment/>
      <protection/>
    </xf>
    <xf numFmtId="0" fontId="38" fillId="0" borderId="61" xfId="53" applyFont="1" applyBorder="1">
      <alignment/>
      <protection/>
    </xf>
    <xf numFmtId="0" fontId="38" fillId="0" borderId="59" xfId="53" applyFont="1" applyFill="1" applyBorder="1">
      <alignment/>
      <protection/>
    </xf>
    <xf numFmtId="0" fontId="38" fillId="0" borderId="60" xfId="53" applyFont="1" applyFill="1" applyBorder="1">
      <alignment/>
      <protection/>
    </xf>
    <xf numFmtId="0" fontId="38" fillId="0" borderId="61" xfId="53" applyFont="1" applyFill="1" applyBorder="1">
      <alignment/>
      <protection/>
    </xf>
    <xf numFmtId="0" fontId="38" fillId="0" borderId="62" xfId="53" applyFont="1" applyFill="1" applyBorder="1" applyAlignment="1">
      <alignment wrapText="1"/>
      <protection/>
    </xf>
    <xf numFmtId="0" fontId="38" fillId="0" borderId="10" xfId="53" applyFont="1" applyFill="1" applyBorder="1" applyAlignment="1">
      <alignment wrapText="1"/>
      <protection/>
    </xf>
    <xf numFmtId="173" fontId="0" fillId="0" borderId="13" xfId="16" applyNumberFormat="1" applyFont="1" applyBorder="1" applyAlignment="1">
      <alignment horizontal="center"/>
    </xf>
    <xf numFmtId="0" fontId="0" fillId="0" borderId="13" xfId="53" applyBorder="1" applyAlignment="1">
      <alignment horizontal="center"/>
      <protection/>
    </xf>
    <xf numFmtId="171" fontId="2" fillId="34" borderId="12" xfId="16" applyFont="1" applyFill="1" applyBorder="1" applyAlignment="1">
      <alignment horizontal="center"/>
    </xf>
    <xf numFmtId="173" fontId="2" fillId="34" borderId="0" xfId="16" applyNumberFormat="1" applyFont="1" applyFill="1" applyBorder="1" applyAlignment="1">
      <alignment horizontal="center"/>
    </xf>
    <xf numFmtId="173" fontId="2" fillId="0" borderId="12" xfId="16" applyNumberFormat="1" applyFont="1" applyBorder="1" applyAlignment="1">
      <alignment horizontal="center"/>
    </xf>
    <xf numFmtId="171" fontId="2" fillId="34" borderId="13" xfId="16" applyFont="1" applyFill="1" applyBorder="1" applyAlignment="1">
      <alignment horizontal="center"/>
    </xf>
    <xf numFmtId="173" fontId="2" fillId="0" borderId="0" xfId="16" applyNumberFormat="1" applyFont="1" applyBorder="1" applyAlignment="1">
      <alignment horizontal="center"/>
    </xf>
    <xf numFmtId="173" fontId="2" fillId="34" borderId="13" xfId="16" applyNumberFormat="1" applyFont="1" applyFill="1" applyBorder="1" applyAlignment="1">
      <alignment horizontal="center"/>
    </xf>
    <xf numFmtId="173" fontId="2" fillId="0" borderId="20" xfId="16" applyNumberFormat="1" applyFont="1" applyBorder="1" applyAlignment="1">
      <alignment horizontal="center"/>
    </xf>
    <xf numFmtId="171" fontId="0" fillId="0" borderId="12" xfId="53" applyNumberFormat="1" applyBorder="1" applyAlignment="1">
      <alignment horizontal="center"/>
      <protection/>
    </xf>
    <xf numFmtId="173" fontId="0" fillId="0" borderId="12" xfId="53" applyNumberFormat="1" applyBorder="1" applyAlignment="1">
      <alignment horizontal="center"/>
      <protection/>
    </xf>
    <xf numFmtId="173" fontId="0" fillId="0" borderId="13" xfId="53" applyNumberFormat="1" applyBorder="1" applyAlignment="1">
      <alignment horizontal="center"/>
      <protection/>
    </xf>
    <xf numFmtId="173" fontId="0" fillId="0" borderId="14" xfId="16" applyNumberFormat="1" applyFont="1" applyBorder="1" applyAlignment="1">
      <alignment/>
    </xf>
    <xf numFmtId="173" fontId="0" fillId="0" borderId="10" xfId="16" applyNumberFormat="1" applyFont="1" applyBorder="1" applyAlignment="1">
      <alignment/>
    </xf>
    <xf numFmtId="173" fontId="0" fillId="0" borderId="14" xfId="16" applyNumberFormat="1" applyFont="1" applyBorder="1" applyAlignment="1">
      <alignment horizontal="center"/>
    </xf>
    <xf numFmtId="0" fontId="0" fillId="0" borderId="14" xfId="53" applyBorder="1" applyAlignment="1">
      <alignment horizontal="center"/>
      <protection/>
    </xf>
    <xf numFmtId="171" fontId="2" fillId="34" borderId="63" xfId="16" applyFont="1" applyFill="1" applyBorder="1" applyAlignment="1">
      <alignment horizontal="center"/>
    </xf>
    <xf numFmtId="173" fontId="2" fillId="34" borderId="50" xfId="16" applyNumberFormat="1" applyFont="1" applyFill="1" applyBorder="1" applyAlignment="1">
      <alignment horizontal="center"/>
    </xf>
    <xf numFmtId="173" fontId="2" fillId="0" borderId="63" xfId="16" applyNumberFormat="1" applyFont="1" applyBorder="1" applyAlignment="1">
      <alignment horizontal="center"/>
    </xf>
    <xf numFmtId="173" fontId="2" fillId="0" borderId="50" xfId="16" applyNumberFormat="1" applyFont="1" applyBorder="1" applyAlignment="1">
      <alignment horizontal="center"/>
    </xf>
    <xf numFmtId="173" fontId="2" fillId="34" borderId="63" xfId="16" applyNumberFormat="1" applyFont="1" applyFill="1" applyBorder="1" applyAlignment="1">
      <alignment horizontal="center"/>
    </xf>
    <xf numFmtId="173" fontId="2" fillId="0" borderId="51" xfId="16" applyNumberFormat="1" applyFont="1" applyBorder="1" applyAlignment="1">
      <alignment horizontal="center"/>
    </xf>
    <xf numFmtId="173" fontId="0" fillId="0" borderId="14" xfId="53" applyNumberFormat="1" applyBorder="1" applyAlignment="1">
      <alignment horizontal="center"/>
      <protection/>
    </xf>
    <xf numFmtId="173" fontId="2" fillId="34" borderId="22" xfId="16" applyNumberFormat="1" applyFont="1" applyFill="1" applyBorder="1" applyAlignment="1">
      <alignment horizontal="center"/>
    </xf>
    <xf numFmtId="173" fontId="2" fillId="0" borderId="13" xfId="16" applyNumberFormat="1" applyFont="1" applyBorder="1" applyAlignment="1">
      <alignment horizontal="center"/>
    </xf>
    <xf numFmtId="171" fontId="2" fillId="0" borderId="13" xfId="16" applyFont="1" applyFill="1" applyBorder="1" applyAlignment="1">
      <alignment horizontal="center"/>
    </xf>
    <xf numFmtId="173" fontId="2" fillId="0" borderId="22" xfId="16" applyNumberFormat="1" applyFont="1" applyBorder="1" applyAlignment="1">
      <alignment horizontal="center"/>
    </xf>
    <xf numFmtId="173" fontId="2" fillId="0" borderId="13" xfId="16" applyNumberFormat="1" applyFont="1" applyFill="1" applyBorder="1" applyAlignment="1">
      <alignment horizontal="center"/>
    </xf>
    <xf numFmtId="173" fontId="2" fillId="0" borderId="55" xfId="16" applyNumberFormat="1" applyFont="1" applyBorder="1" applyAlignment="1">
      <alignment horizontal="center"/>
    </xf>
    <xf numFmtId="173" fontId="0" fillId="0" borderId="21" xfId="16" applyNumberFormat="1" applyFont="1" applyBorder="1" applyAlignment="1">
      <alignment horizontal="center"/>
    </xf>
    <xf numFmtId="171" fontId="2" fillId="0" borderId="63" xfId="16" applyFont="1" applyFill="1" applyBorder="1" applyAlignment="1">
      <alignment horizontal="center"/>
    </xf>
    <xf numFmtId="173" fontId="2" fillId="0" borderId="63" xfId="16" applyNumberFormat="1" applyFont="1" applyFill="1" applyBorder="1" applyAlignment="1">
      <alignment horizontal="center"/>
    </xf>
    <xf numFmtId="171" fontId="2" fillId="0" borderId="14" xfId="16" applyFont="1" applyFill="1" applyBorder="1" applyAlignment="1">
      <alignment horizontal="center"/>
    </xf>
    <xf numFmtId="171" fontId="2" fillId="34" borderId="14" xfId="16" applyFont="1" applyFill="1" applyBorder="1" applyAlignment="1">
      <alignment horizontal="center"/>
    </xf>
    <xf numFmtId="173" fontId="2" fillId="34" borderId="15" xfId="16" applyNumberFormat="1" applyFont="1" applyFill="1" applyBorder="1" applyAlignment="1">
      <alignment horizontal="center"/>
    </xf>
    <xf numFmtId="173" fontId="2" fillId="0" borderId="14" xfId="16" applyNumberFormat="1" applyFont="1" applyBorder="1" applyAlignment="1">
      <alignment horizontal="center"/>
    </xf>
    <xf numFmtId="173" fontId="2" fillId="0" borderId="15" xfId="16" applyNumberFormat="1" applyFont="1" applyBorder="1" applyAlignment="1">
      <alignment horizontal="center"/>
    </xf>
    <xf numFmtId="173" fontId="2" fillId="0" borderId="21" xfId="16" applyNumberFormat="1" applyFont="1" applyBorder="1" applyAlignment="1">
      <alignment horizontal="center"/>
    </xf>
    <xf numFmtId="171" fontId="0" fillId="0" borderId="13" xfId="53" applyNumberFormat="1" applyBorder="1" applyAlignment="1">
      <alignment horizontal="center"/>
      <protection/>
    </xf>
    <xf numFmtId="173" fontId="2" fillId="0" borderId="14" xfId="16" applyNumberFormat="1" applyFont="1" applyFill="1" applyBorder="1" applyAlignment="1">
      <alignment horizontal="center"/>
    </xf>
    <xf numFmtId="173" fontId="0" fillId="0" borderId="0" xfId="53" applyNumberFormat="1" applyFill="1" applyBorder="1" applyAlignment="1">
      <alignment horizontal="center"/>
      <protection/>
    </xf>
    <xf numFmtId="171" fontId="2" fillId="0" borderId="0" xfId="16" applyFont="1" applyFill="1" applyBorder="1" applyAlignment="1">
      <alignment horizontal="center"/>
    </xf>
    <xf numFmtId="173" fontId="2" fillId="0" borderId="0" xfId="16" applyNumberFormat="1" applyFont="1" applyFill="1" applyBorder="1" applyAlignment="1">
      <alignment horizontal="center"/>
    </xf>
    <xf numFmtId="171" fontId="0" fillId="0" borderId="0" xfId="53" applyNumberFormat="1" applyFill="1" applyBorder="1" applyAlignment="1">
      <alignment horizontal="center"/>
      <protection/>
    </xf>
    <xf numFmtId="0" fontId="0" fillId="0" borderId="0" xfId="53" applyFill="1" applyBorder="1" applyAlignment="1">
      <alignment horizontal="center"/>
      <protection/>
    </xf>
    <xf numFmtId="173" fontId="0" fillId="0" borderId="0" xfId="53" applyNumberFormat="1">
      <alignment/>
      <protection/>
    </xf>
    <xf numFmtId="171" fontId="39" fillId="0" borderId="0" xfId="16" applyFont="1" applyBorder="1" applyAlignment="1">
      <alignment/>
    </xf>
    <xf numFmtId="173" fontId="40" fillId="0" borderId="0" xfId="16" applyNumberFormat="1" applyFont="1" applyBorder="1" applyAlignment="1">
      <alignment/>
    </xf>
    <xf numFmtId="171" fontId="0" fillId="0" borderId="0" xfId="16" applyFont="1" applyBorder="1" applyAlignment="1">
      <alignment/>
    </xf>
    <xf numFmtId="171" fontId="40" fillId="0" borderId="0" xfId="16" applyFont="1" applyBorder="1" applyAlignment="1">
      <alignment/>
    </xf>
    <xf numFmtId="0" fontId="2" fillId="33" borderId="0" xfId="53" applyFont="1" applyFill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171" fontId="2" fillId="33" borderId="12" xfId="16" applyFont="1" applyFill="1" applyBorder="1" applyAlignment="1">
      <alignment horizontal="center"/>
    </xf>
    <xf numFmtId="173" fontId="2" fillId="33" borderId="0" xfId="16" applyNumberFormat="1" applyFont="1" applyFill="1" applyBorder="1" applyAlignment="1">
      <alignment horizontal="center"/>
    </xf>
    <xf numFmtId="171" fontId="2" fillId="33" borderId="13" xfId="16" applyFont="1" applyFill="1" applyBorder="1" applyAlignment="1">
      <alignment horizontal="center"/>
    </xf>
    <xf numFmtId="173" fontId="2" fillId="33" borderId="13" xfId="16" applyNumberFormat="1" applyFont="1" applyFill="1" applyBorder="1" applyAlignment="1">
      <alignment horizontal="center"/>
    </xf>
    <xf numFmtId="171" fontId="2" fillId="33" borderId="63" xfId="16" applyFont="1" applyFill="1" applyBorder="1" applyAlignment="1">
      <alignment horizontal="center"/>
    </xf>
    <xf numFmtId="173" fontId="2" fillId="33" borderId="50" xfId="16" applyNumberFormat="1" applyFont="1" applyFill="1" applyBorder="1" applyAlignment="1">
      <alignment horizontal="center"/>
    </xf>
    <xf numFmtId="173" fontId="2" fillId="33" borderId="63" xfId="16" applyNumberFormat="1" applyFont="1" applyFill="1" applyBorder="1" applyAlignment="1">
      <alignment horizontal="center"/>
    </xf>
    <xf numFmtId="173" fontId="2" fillId="33" borderId="22" xfId="16" applyNumberFormat="1" applyFont="1" applyFill="1" applyBorder="1" applyAlignment="1">
      <alignment horizontal="center"/>
    </xf>
    <xf numFmtId="171" fontId="2" fillId="33" borderId="14" xfId="16" applyFont="1" applyFill="1" applyBorder="1" applyAlignment="1">
      <alignment horizontal="center"/>
    </xf>
    <xf numFmtId="173" fontId="2" fillId="33" borderId="15" xfId="16" applyNumberFormat="1" applyFont="1" applyFill="1" applyBorder="1" applyAlignment="1">
      <alignment horizontal="center"/>
    </xf>
    <xf numFmtId="0" fontId="2" fillId="36" borderId="0" xfId="53" applyFont="1" applyFill="1" applyAlignment="1">
      <alignment horizontal="center"/>
      <protection/>
    </xf>
    <xf numFmtId="171" fontId="2" fillId="36" borderId="12" xfId="16" applyFont="1" applyFill="1" applyBorder="1" applyAlignment="1">
      <alignment horizontal="center"/>
    </xf>
    <xf numFmtId="173" fontId="2" fillId="36" borderId="0" xfId="16" applyNumberFormat="1" applyFont="1" applyFill="1" applyBorder="1" applyAlignment="1">
      <alignment horizontal="center"/>
    </xf>
    <xf numFmtId="171" fontId="2" fillId="36" borderId="13" xfId="16" applyFont="1" applyFill="1" applyBorder="1" applyAlignment="1">
      <alignment horizontal="center"/>
    </xf>
    <xf numFmtId="173" fontId="2" fillId="36" borderId="12" xfId="16" applyNumberFormat="1" applyFont="1" applyFill="1" applyBorder="1" applyAlignment="1">
      <alignment horizontal="center"/>
    </xf>
    <xf numFmtId="171" fontId="2" fillId="36" borderId="63" xfId="16" applyFont="1" applyFill="1" applyBorder="1" applyAlignment="1">
      <alignment horizontal="center"/>
    </xf>
    <xf numFmtId="173" fontId="2" fillId="36" borderId="50" xfId="16" applyNumberFormat="1" applyFont="1" applyFill="1" applyBorder="1" applyAlignment="1">
      <alignment horizontal="center"/>
    </xf>
    <xf numFmtId="173" fontId="2" fillId="36" borderId="63" xfId="16" applyNumberFormat="1" applyFont="1" applyFill="1" applyBorder="1" applyAlignment="1">
      <alignment horizontal="center"/>
    </xf>
    <xf numFmtId="173" fontId="2" fillId="36" borderId="22" xfId="16" applyNumberFormat="1" applyFont="1" applyFill="1" applyBorder="1" applyAlignment="1">
      <alignment horizontal="center"/>
    </xf>
    <xf numFmtId="171" fontId="2" fillId="36" borderId="14" xfId="16" applyFont="1" applyFill="1" applyBorder="1" applyAlignment="1">
      <alignment horizontal="center"/>
    </xf>
    <xf numFmtId="173" fontId="2" fillId="36" borderId="15" xfId="16" applyNumberFormat="1" applyFont="1" applyFill="1" applyBorder="1" applyAlignment="1">
      <alignment horizontal="center"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/>
      <protection/>
    </xf>
    <xf numFmtId="173" fontId="40" fillId="37" borderId="0" xfId="16" applyNumberFormat="1" applyFont="1" applyFill="1" applyBorder="1" applyAlignment="1">
      <alignment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 horizontal="center"/>
      <protection/>
    </xf>
    <xf numFmtId="2" fontId="0" fillId="0" borderId="0" xfId="53" applyNumberFormat="1" applyAlignment="1">
      <alignment horizontal="right"/>
      <protection/>
    </xf>
    <xf numFmtId="0" fontId="0" fillId="0" borderId="0" xfId="53" applyAlignment="1">
      <alignment/>
      <protection/>
    </xf>
    <xf numFmtId="2" fontId="0" fillId="0" borderId="0" xfId="53" applyNumberFormat="1" applyAlignment="1">
      <alignment/>
      <protection/>
    </xf>
    <xf numFmtId="0" fontId="0" fillId="0" borderId="0" xfId="53" applyFont="1" applyAlignment="1">
      <alignment/>
      <protection/>
    </xf>
    <xf numFmtId="0" fontId="0" fillId="0" borderId="0" xfId="53" applyAlignment="1" quotePrefix="1">
      <alignment horizontal="left" wrapText="1"/>
      <protection/>
    </xf>
    <xf numFmtId="173" fontId="0" fillId="0" borderId="0" xfId="16" applyNumberFormat="1" applyFont="1" applyFill="1" applyAlignment="1">
      <alignment/>
    </xf>
    <xf numFmtId="173" fontId="0" fillId="0" borderId="0" xfId="16" applyNumberFormat="1" applyFont="1" applyAlignment="1">
      <alignment/>
    </xf>
    <xf numFmtId="173" fontId="1" fillId="0" borderId="0" xfId="53" applyNumberFormat="1" applyFont="1" applyAlignment="1">
      <alignment/>
      <protection/>
    </xf>
    <xf numFmtId="0" fontId="0" fillId="0" borderId="10" xfId="53" applyBorder="1">
      <alignment/>
      <protection/>
    </xf>
    <xf numFmtId="0" fontId="0" fillId="0" borderId="10" xfId="53" applyBorder="1" applyAlignment="1">
      <alignment wrapText="1"/>
      <protection/>
    </xf>
    <xf numFmtId="0" fontId="0" fillId="0" borderId="16" xfId="53" applyBorder="1">
      <alignment/>
      <protection/>
    </xf>
    <xf numFmtId="0" fontId="0" fillId="0" borderId="11" xfId="53" applyBorder="1" applyAlignment="1">
      <alignment wrapText="1"/>
      <protection/>
    </xf>
    <xf numFmtId="0" fontId="0" fillId="0" borderId="10" xfId="53" applyFill="1" applyBorder="1">
      <alignment/>
      <protection/>
    </xf>
    <xf numFmtId="0" fontId="0" fillId="0" borderId="54" xfId="53" applyBorder="1">
      <alignment/>
      <protection/>
    </xf>
    <xf numFmtId="0" fontId="0" fillId="0" borderId="22" xfId="53" applyBorder="1">
      <alignment/>
      <protection/>
    </xf>
    <xf numFmtId="2" fontId="0" fillId="0" borderId="22" xfId="16" applyNumberFormat="1" applyFont="1" applyBorder="1" applyAlignment="1">
      <alignment/>
    </xf>
    <xf numFmtId="0" fontId="0" fillId="0" borderId="55" xfId="53" applyBorder="1">
      <alignment/>
      <protection/>
    </xf>
    <xf numFmtId="2" fontId="0" fillId="0" borderId="22" xfId="53" applyNumberFormat="1" applyBorder="1">
      <alignment/>
      <protection/>
    </xf>
    <xf numFmtId="173" fontId="0" fillId="0" borderId="13" xfId="16" applyNumberFormat="1" applyFont="1" applyBorder="1" applyAlignment="1">
      <alignment/>
    </xf>
    <xf numFmtId="173" fontId="0" fillId="0" borderId="55" xfId="16" applyNumberFormat="1" applyFont="1" applyBorder="1" applyAlignment="1">
      <alignment/>
    </xf>
    <xf numFmtId="0" fontId="0" fillId="0" borderId="12" xfId="53" applyBorder="1">
      <alignment/>
      <protection/>
    </xf>
    <xf numFmtId="0" fontId="0" fillId="0" borderId="17" xfId="53" applyBorder="1">
      <alignment/>
      <protection/>
    </xf>
    <xf numFmtId="0" fontId="0" fillId="0" borderId="0" xfId="53" applyBorder="1">
      <alignment/>
      <protection/>
    </xf>
    <xf numFmtId="2" fontId="0" fillId="0" borderId="0" xfId="16" applyNumberFormat="1" applyFont="1" applyBorder="1" applyAlignment="1">
      <alignment/>
    </xf>
    <xf numFmtId="0" fontId="0" fillId="0" borderId="20" xfId="53" applyBorder="1">
      <alignment/>
      <protection/>
    </xf>
    <xf numFmtId="2" fontId="0" fillId="0" borderId="0" xfId="53" applyNumberFormat="1" applyBorder="1">
      <alignment/>
      <protection/>
    </xf>
    <xf numFmtId="173" fontId="0" fillId="0" borderId="12" xfId="16" applyNumberFormat="1" applyFont="1" applyBorder="1" applyAlignment="1">
      <alignment/>
    </xf>
    <xf numFmtId="0" fontId="0" fillId="0" borderId="15" xfId="53" applyBorder="1">
      <alignment/>
      <protection/>
    </xf>
    <xf numFmtId="173" fontId="0" fillId="0" borderId="21" xfId="16" applyNumberFormat="1" applyFont="1" applyBorder="1" applyAlignment="1">
      <alignment/>
    </xf>
    <xf numFmtId="0" fontId="0" fillId="0" borderId="14" xfId="53" applyBorder="1">
      <alignment/>
      <protection/>
    </xf>
    <xf numFmtId="0" fontId="0" fillId="0" borderId="18" xfId="53" applyBorder="1">
      <alignment/>
      <protection/>
    </xf>
    <xf numFmtId="2" fontId="0" fillId="0" borderId="15" xfId="16" applyNumberFormat="1" applyFont="1" applyBorder="1" applyAlignment="1">
      <alignment/>
    </xf>
    <xf numFmtId="0" fontId="0" fillId="0" borderId="21" xfId="53" applyBorder="1">
      <alignment/>
      <protection/>
    </xf>
    <xf numFmtId="2" fontId="0" fillId="0" borderId="15" xfId="53" applyNumberFormat="1" applyBorder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/>
      <protection/>
    </xf>
    <xf numFmtId="0" fontId="0" fillId="0" borderId="14" xfId="53" applyFont="1" applyBorder="1">
      <alignment/>
      <protection/>
    </xf>
    <xf numFmtId="173" fontId="0" fillId="0" borderId="0" xfId="16" applyNumberFormat="1" applyFont="1" applyFill="1" applyAlignment="1">
      <alignment/>
    </xf>
    <xf numFmtId="173" fontId="0" fillId="0" borderId="0" xfId="16" applyNumberFormat="1" applyFont="1" applyAlignment="1">
      <alignment/>
    </xf>
    <xf numFmtId="0" fontId="0" fillId="0" borderId="0" xfId="53" applyFont="1" quotePrefix="1">
      <alignment/>
      <protection/>
    </xf>
  </cellXfs>
  <cellStyles count="52">
    <cellStyle name="Normal" xfId="0"/>
    <cellStyle name="Comma" xfId="15"/>
    <cellStyle name="1000-sep (2 dec) 2" xfId="16"/>
    <cellStyle name="Comma [0]" xfId="17"/>
    <cellStyle name="20 % - Markeringsfarve1" xfId="18"/>
    <cellStyle name="20 % - Markeringsfarve2" xfId="19"/>
    <cellStyle name="20 % - Markeringsfarve3" xfId="20"/>
    <cellStyle name="20 % - Markeringsfarve4" xfId="21"/>
    <cellStyle name="20 % - Markeringsfarve5" xfId="22"/>
    <cellStyle name="20 % - Markeringsfarve6" xfId="23"/>
    <cellStyle name="40 % - Markeringsfarve1" xfId="24"/>
    <cellStyle name="40 % - Markeringsfarve2" xfId="25"/>
    <cellStyle name="40 % - Markeringsfarve3" xfId="26"/>
    <cellStyle name="40 % - Markeringsfarve4" xfId="27"/>
    <cellStyle name="40 % - Markeringsfarve5" xfId="28"/>
    <cellStyle name="40 % - Markeringsfarve6" xfId="29"/>
    <cellStyle name="60 % - Markeringsfarve1" xfId="30"/>
    <cellStyle name="60 % - Markeringsfarve2" xfId="31"/>
    <cellStyle name="60 % - Markeringsfarve3" xfId="32"/>
    <cellStyle name="60 % - Markeringsfarve4" xfId="33"/>
    <cellStyle name="60 % - Markeringsfarve5" xfId="34"/>
    <cellStyle name="60 % - Markeringsfarve6" xfId="35"/>
    <cellStyle name="Advarselstekst" xfId="36"/>
    <cellStyle name="Currency [0]" xfId="37"/>
    <cellStyle name="Bemærk!" xfId="38"/>
    <cellStyle name="Beregning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Procent 2" xfId="60"/>
    <cellStyle name="Sammenkædet celle" xfId="61"/>
    <cellStyle name="Titel" xfId="62"/>
    <cellStyle name="Total" xfId="63"/>
    <cellStyle name="Ugyldig" xfId="64"/>
    <cellStyle name="Currenc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7"/>
  <sheetViews>
    <sheetView tabSelected="1" zoomScalePageLayoutView="0" workbookViewId="0" topLeftCell="A1">
      <selection activeCell="G120" sqref="G120"/>
    </sheetView>
  </sheetViews>
  <sheetFormatPr defaultColWidth="9.140625" defaultRowHeight="12.75"/>
  <cols>
    <col min="1" max="1" width="8.8515625" style="249" customWidth="1"/>
    <col min="2" max="2" width="3.28125" style="249" customWidth="1"/>
    <col min="3" max="3" width="17.7109375" style="249" customWidth="1"/>
    <col min="4" max="4" width="13.421875" style="249" customWidth="1"/>
    <col min="5" max="5" width="14.8515625" style="249" customWidth="1"/>
    <col min="6" max="6" width="15.57421875" style="249" customWidth="1"/>
    <col min="7" max="7" width="15.7109375" style="249" customWidth="1"/>
    <col min="8" max="8" width="14.8515625" style="249" customWidth="1"/>
    <col min="9" max="9" width="15.00390625" style="249" customWidth="1"/>
    <col min="10" max="10" width="13.421875" style="249" customWidth="1"/>
    <col min="11" max="11" width="14.140625" style="249" customWidth="1"/>
    <col min="12" max="13" width="13.57421875" style="249" customWidth="1"/>
    <col min="14" max="14" width="18.00390625" style="249" customWidth="1"/>
    <col min="15" max="15" width="11.00390625" style="249" customWidth="1"/>
    <col min="16" max="16384" width="8.8515625" style="249" customWidth="1"/>
  </cols>
  <sheetData>
    <row r="1" ht="18">
      <c r="C1" s="250" t="s">
        <v>160</v>
      </c>
    </row>
    <row r="2" spans="3:4" ht="15.75">
      <c r="C2" s="251" t="s">
        <v>161</v>
      </c>
      <c r="D2" s="252" t="s">
        <v>162</v>
      </c>
    </row>
    <row r="3" spans="3:5" ht="16.5" thickBot="1">
      <c r="C3" s="251" t="s">
        <v>163</v>
      </c>
      <c r="D3" s="252">
        <v>1</v>
      </c>
      <c r="E3" s="249" t="s">
        <v>164</v>
      </c>
    </row>
    <row r="4" spans="1:15" ht="30.75" thickBot="1">
      <c r="A4" s="253" t="s">
        <v>165</v>
      </c>
      <c r="B4" s="253" t="s">
        <v>166</v>
      </c>
      <c r="C4" s="254" t="s">
        <v>167</v>
      </c>
      <c r="D4" s="255" t="s">
        <v>168</v>
      </c>
      <c r="E4" s="255" t="s">
        <v>28</v>
      </c>
      <c r="F4" s="255" t="s">
        <v>169</v>
      </c>
      <c r="G4" s="255" t="s">
        <v>170</v>
      </c>
      <c r="H4" s="255" t="s">
        <v>171</v>
      </c>
      <c r="I4" s="255" t="s">
        <v>172</v>
      </c>
      <c r="J4" s="256" t="s">
        <v>173</v>
      </c>
      <c r="K4" s="257" t="s">
        <v>174</v>
      </c>
      <c r="L4" s="258" t="s">
        <v>175</v>
      </c>
      <c r="M4" s="259" t="s">
        <v>176</v>
      </c>
      <c r="N4" s="260" t="s">
        <v>177</v>
      </c>
      <c r="O4" s="261" t="s">
        <v>178</v>
      </c>
    </row>
    <row r="5" spans="1:15" ht="15" customHeight="1" thickBot="1">
      <c r="A5" s="262" t="str">
        <f>IF(C5=0,0,CONCATENATE(B5," ",$D$2))</f>
        <v>1 DK</v>
      </c>
      <c r="B5" s="263">
        <v>1</v>
      </c>
      <c r="C5" s="264">
        <v>2100</v>
      </c>
      <c r="D5" s="265">
        <v>1000</v>
      </c>
      <c r="E5" s="266">
        <f>D5*C5</f>
        <v>2100000</v>
      </c>
      <c r="F5" s="267">
        <v>800</v>
      </c>
      <c r="G5" s="266">
        <f>F5*D5</f>
        <v>800000</v>
      </c>
      <c r="H5" s="268">
        <f>E5-G5</f>
        <v>1300000</v>
      </c>
      <c r="I5" s="269">
        <v>0</v>
      </c>
      <c r="J5" s="270">
        <f>H5-I5</f>
        <v>1300000</v>
      </c>
      <c r="K5" s="271">
        <f>C5-F5</f>
        <v>1300</v>
      </c>
      <c r="L5" s="272">
        <f>D5/$D$3</f>
        <v>1000</v>
      </c>
      <c r="M5" s="273">
        <f>IF(L5=0,0,H5/L5)</f>
        <v>1300</v>
      </c>
      <c r="N5" s="274">
        <f>IF(L5=0,0,H5/L5)</f>
        <v>1300</v>
      </c>
      <c r="O5" s="275">
        <f>IF(L5&lt;0,0,L5)</f>
        <v>1000</v>
      </c>
    </row>
    <row r="6" spans="1:15" ht="15.75" customHeight="1" thickBot="1">
      <c r="A6" s="276"/>
      <c r="B6" s="277"/>
      <c r="C6" s="278"/>
      <c r="D6" s="279"/>
      <c r="E6" s="280"/>
      <c r="F6" s="278"/>
      <c r="G6" s="280"/>
      <c r="H6" s="281"/>
      <c r="I6" s="282"/>
      <c r="J6" s="283"/>
      <c r="K6" s="277"/>
      <c r="L6" s="277"/>
      <c r="M6" s="284"/>
      <c r="N6" s="262">
        <f>IF(L7=0,0,(H7-H5)/(L7-L5))</f>
        <v>1100</v>
      </c>
      <c r="O6" s="262">
        <f>IF(L7-L5&lt;0,0,L7-L5)</f>
        <v>1000</v>
      </c>
    </row>
    <row r="7" spans="1:15" ht="13.5" thickBot="1">
      <c r="A7" s="262" t="str">
        <f>IF(C7=0,0,CONCATENATE(B7," ",$D$2))</f>
        <v>2 DK</v>
      </c>
      <c r="B7" s="263">
        <v>2</v>
      </c>
      <c r="C7" s="267">
        <f>C5-100</f>
        <v>2000</v>
      </c>
      <c r="D7" s="285">
        <f>D5+1000</f>
        <v>2000</v>
      </c>
      <c r="E7" s="286">
        <f>D7*C7</f>
        <v>4000000</v>
      </c>
      <c r="F7" s="287">
        <f>IF(C7=0,0,$F$5)</f>
        <v>800</v>
      </c>
      <c r="G7" s="286">
        <f>F7*D7</f>
        <v>1600000</v>
      </c>
      <c r="H7" s="288">
        <f>E7-G7</f>
        <v>2400000</v>
      </c>
      <c r="I7" s="289">
        <f>IF(C7=0,0,$I$5)</f>
        <v>0</v>
      </c>
      <c r="J7" s="290">
        <f>H7-I7</f>
        <v>2400000</v>
      </c>
      <c r="K7" s="271">
        <f>C7-F7</f>
        <v>1200</v>
      </c>
      <c r="L7" s="273">
        <f>D7/$D$3</f>
        <v>2000</v>
      </c>
      <c r="M7" s="273">
        <f>IF(L7=0,0,H7/L7)</f>
        <v>1200</v>
      </c>
      <c r="N7" s="291"/>
      <c r="O7" s="276"/>
    </row>
    <row r="8" spans="1:15" ht="13.5" thickBot="1">
      <c r="A8" s="276"/>
      <c r="B8" s="277"/>
      <c r="C8" s="278"/>
      <c r="D8" s="279"/>
      <c r="E8" s="280"/>
      <c r="F8" s="292"/>
      <c r="G8" s="280"/>
      <c r="H8" s="281"/>
      <c r="I8" s="293"/>
      <c r="J8" s="283"/>
      <c r="K8" s="277"/>
      <c r="L8" s="284"/>
      <c r="M8" s="284"/>
      <c r="N8" s="262">
        <f>IF(L9=0,0,(H9-H7)/(L9-L7))</f>
        <v>900</v>
      </c>
      <c r="O8" s="262">
        <f>IF(L9-L7&lt;0,0,L9-L7)</f>
        <v>1000</v>
      </c>
    </row>
    <row r="9" spans="1:15" ht="13.5" customHeight="1" thickBot="1">
      <c r="A9" s="262" t="str">
        <f>IF(C9=0,0,CONCATENATE(B9," ",$D$2))</f>
        <v>3 DK</v>
      </c>
      <c r="B9" s="263">
        <v>3</v>
      </c>
      <c r="C9" s="267">
        <f>C7-100</f>
        <v>1900</v>
      </c>
      <c r="D9" s="285">
        <f>D7+1000</f>
        <v>3000</v>
      </c>
      <c r="E9" s="286">
        <f>D9*C9</f>
        <v>5700000</v>
      </c>
      <c r="F9" s="287">
        <f>IF(C9=0,0,$F$5)</f>
        <v>800</v>
      </c>
      <c r="G9" s="286">
        <f>F9*D9</f>
        <v>2400000</v>
      </c>
      <c r="H9" s="288">
        <f>E9-G9</f>
        <v>3300000</v>
      </c>
      <c r="I9" s="289">
        <f>IF(C9=0,0,$I$5)</f>
        <v>0</v>
      </c>
      <c r="J9" s="290">
        <f>H9-I9</f>
        <v>3300000</v>
      </c>
      <c r="K9" s="271">
        <f>C9-F9</f>
        <v>1100</v>
      </c>
      <c r="L9" s="273">
        <f>D9/$D$3</f>
        <v>3000</v>
      </c>
      <c r="M9" s="273">
        <f>IF(L9=0,0,H9/L9)</f>
        <v>1100</v>
      </c>
      <c r="N9" s="291"/>
      <c r="O9" s="276"/>
    </row>
    <row r="10" spans="1:15" ht="13.5" customHeight="1" thickBot="1">
      <c r="A10" s="276"/>
      <c r="B10" s="277"/>
      <c r="C10" s="278"/>
      <c r="D10" s="279"/>
      <c r="E10" s="280"/>
      <c r="F10" s="292"/>
      <c r="G10" s="280"/>
      <c r="H10" s="281"/>
      <c r="I10" s="293"/>
      <c r="J10" s="283"/>
      <c r="K10" s="277"/>
      <c r="L10" s="284"/>
      <c r="M10" s="284"/>
      <c r="N10" s="262">
        <f>IF(L11=0,0,(H11-H9)/(L11-L9))</f>
        <v>700</v>
      </c>
      <c r="O10" s="262">
        <f>IF(L11-L9&lt;0,0,L11-L9)</f>
        <v>1000</v>
      </c>
    </row>
    <row r="11" spans="1:15" ht="13.5" customHeight="1" thickBot="1">
      <c r="A11" s="262" t="str">
        <f>IF(C11=0,0,CONCATENATE(B11," ",$D$2))</f>
        <v>4 DK</v>
      </c>
      <c r="B11" s="263">
        <v>4</v>
      </c>
      <c r="C11" s="267">
        <f>C9-100</f>
        <v>1800</v>
      </c>
      <c r="D11" s="285">
        <f>D9+1000</f>
        <v>4000</v>
      </c>
      <c r="E11" s="286">
        <f>D11*C11</f>
        <v>7200000</v>
      </c>
      <c r="F11" s="287">
        <f>IF(C11=0,0,$F$5)</f>
        <v>800</v>
      </c>
      <c r="G11" s="286">
        <f>F11*D11</f>
        <v>3200000</v>
      </c>
      <c r="H11" s="288">
        <f>E11-G11</f>
        <v>4000000</v>
      </c>
      <c r="I11" s="289">
        <f>IF(C11=0,0,$I$5)</f>
        <v>0</v>
      </c>
      <c r="J11" s="290">
        <f>H11-I11</f>
        <v>4000000</v>
      </c>
      <c r="K11" s="271">
        <f>C11-F11</f>
        <v>1000</v>
      </c>
      <c r="L11" s="273">
        <f>D11/$D$3</f>
        <v>4000</v>
      </c>
      <c r="M11" s="273">
        <f>IF(L11=0,0,H11/L11)</f>
        <v>1000</v>
      </c>
      <c r="N11" s="291"/>
      <c r="O11" s="276"/>
    </row>
    <row r="12" spans="1:15" ht="13.5" customHeight="1" thickBot="1">
      <c r="A12" s="276"/>
      <c r="B12" s="277"/>
      <c r="C12" s="278"/>
      <c r="D12" s="279"/>
      <c r="E12" s="280"/>
      <c r="F12" s="294"/>
      <c r="G12" s="280"/>
      <c r="H12" s="281"/>
      <c r="I12" s="293"/>
      <c r="J12" s="283"/>
      <c r="K12" s="277"/>
      <c r="L12" s="284"/>
      <c r="M12" s="284"/>
      <c r="N12" s="262">
        <f>IF(L13=0,0,(H13-H11)/(L13-L11))</f>
        <v>500</v>
      </c>
      <c r="O12" s="262">
        <f>IF(L13-L11&lt;0,0,L13-L11)</f>
        <v>1000</v>
      </c>
    </row>
    <row r="13" spans="1:15" ht="13.5" customHeight="1" thickBot="1">
      <c r="A13" s="262" t="str">
        <f>IF(C13=0,0,CONCATENATE(B13," ",$D$2))</f>
        <v>5 DK</v>
      </c>
      <c r="B13" s="263">
        <v>5</v>
      </c>
      <c r="C13" s="267">
        <f>C11-100</f>
        <v>1700</v>
      </c>
      <c r="D13" s="285">
        <f>D11+1000</f>
        <v>5000</v>
      </c>
      <c r="E13" s="286">
        <f>D13*C13</f>
        <v>8500000</v>
      </c>
      <c r="F13" s="287">
        <f>IF(C13=0,0,$F$5)</f>
        <v>800</v>
      </c>
      <c r="G13" s="286">
        <f>F13*D13</f>
        <v>4000000</v>
      </c>
      <c r="H13" s="288">
        <f>E13-G13</f>
        <v>4500000</v>
      </c>
      <c r="I13" s="289">
        <f>IF(C13=0,0,$I$5)</f>
        <v>0</v>
      </c>
      <c r="J13" s="290">
        <f>H13-I13</f>
        <v>4500000</v>
      </c>
      <c r="K13" s="271">
        <f>C13-F13</f>
        <v>900</v>
      </c>
      <c r="L13" s="273">
        <f>D13/$D$3</f>
        <v>5000</v>
      </c>
      <c r="M13" s="273">
        <f>IF(L13=0,0,H13/L13)</f>
        <v>900</v>
      </c>
      <c r="N13" s="291"/>
      <c r="O13" s="276"/>
    </row>
    <row r="14" spans="1:15" ht="13.5" customHeight="1" thickBot="1">
      <c r="A14" s="276"/>
      <c r="B14" s="277"/>
      <c r="C14" s="278"/>
      <c r="D14" s="279"/>
      <c r="E14" s="280"/>
      <c r="F14" s="294"/>
      <c r="G14" s="280"/>
      <c r="H14" s="281"/>
      <c r="I14" s="293"/>
      <c r="J14" s="283"/>
      <c r="K14" s="277"/>
      <c r="L14" s="284"/>
      <c r="M14" s="284"/>
      <c r="N14" s="262">
        <f>IF(L15=0,0,(H15-H13)/(L15-L13))</f>
        <v>300</v>
      </c>
      <c r="O14" s="262">
        <f>IF(L15-L13&lt;0,0,L15-L13)</f>
        <v>1000</v>
      </c>
    </row>
    <row r="15" spans="1:15" ht="13.5" customHeight="1" thickBot="1">
      <c r="A15" s="262" t="str">
        <f>IF(C15=0,0,CONCATENATE(B15," ",$D$2))</f>
        <v>6 DK</v>
      </c>
      <c r="B15" s="263">
        <v>6</v>
      </c>
      <c r="C15" s="267">
        <f>C13-100</f>
        <v>1600</v>
      </c>
      <c r="D15" s="285">
        <f>D13+1000</f>
        <v>6000</v>
      </c>
      <c r="E15" s="286">
        <f>D15*C15</f>
        <v>9600000</v>
      </c>
      <c r="F15" s="287">
        <f>IF(C15=0,0,$F$5)</f>
        <v>800</v>
      </c>
      <c r="G15" s="286">
        <f>F15*D15</f>
        <v>4800000</v>
      </c>
      <c r="H15" s="288">
        <f>E15-G15</f>
        <v>4800000</v>
      </c>
      <c r="I15" s="289">
        <f>IF(C15=0,0,$I$5)</f>
        <v>0</v>
      </c>
      <c r="J15" s="290">
        <f>H15-I15</f>
        <v>4800000</v>
      </c>
      <c r="K15" s="271">
        <f>C15-F15</f>
        <v>800</v>
      </c>
      <c r="L15" s="273">
        <f>D15/$D$3</f>
        <v>6000</v>
      </c>
      <c r="M15" s="273">
        <f>IF(L15=0,0,H15/L15)</f>
        <v>800</v>
      </c>
      <c r="N15" s="291"/>
      <c r="O15" s="276"/>
    </row>
    <row r="16" spans="1:15" ht="13.5" customHeight="1" thickBot="1">
      <c r="A16" s="276"/>
      <c r="B16" s="277"/>
      <c r="C16" s="278"/>
      <c r="D16" s="279"/>
      <c r="E16" s="280"/>
      <c r="F16" s="292"/>
      <c r="G16" s="280"/>
      <c r="H16" s="281"/>
      <c r="I16" s="293"/>
      <c r="J16" s="283"/>
      <c r="K16" s="277"/>
      <c r="L16" s="284"/>
      <c r="M16" s="284"/>
      <c r="N16" s="262">
        <f>IF(L17=0,0,(H17-H15)/(L17-L15))</f>
        <v>0</v>
      </c>
      <c r="O16" s="262">
        <f>IF(L17-L15&lt;0,0,L17-L15)</f>
        <v>0</v>
      </c>
    </row>
    <row r="17" spans="1:15" ht="13.5" customHeight="1" thickBot="1">
      <c r="A17" s="262">
        <f>IF(C17=0,0,CONCATENATE(B17," ",$D$2))</f>
        <v>0</v>
      </c>
      <c r="B17" s="263">
        <v>7</v>
      </c>
      <c r="C17" s="267">
        <v>0</v>
      </c>
      <c r="D17" s="285">
        <v>0</v>
      </c>
      <c r="E17" s="286">
        <f>D17*C17</f>
        <v>0</v>
      </c>
      <c r="F17" s="287">
        <f>IF(C17=0,0,$F$5)</f>
        <v>0</v>
      </c>
      <c r="G17" s="286">
        <f>F17*D17</f>
        <v>0</v>
      </c>
      <c r="H17" s="288">
        <f>E17-G17</f>
        <v>0</v>
      </c>
      <c r="I17" s="289">
        <f>IF(C17=0,0,$I$5)</f>
        <v>0</v>
      </c>
      <c r="J17" s="290">
        <f>H17-I17</f>
        <v>0</v>
      </c>
      <c r="K17" s="271">
        <f>C17-F17</f>
        <v>0</v>
      </c>
      <c r="L17" s="273">
        <f>D17/$D$3</f>
        <v>0</v>
      </c>
      <c r="M17" s="273">
        <f>IF(L17=0,0,H17/L17)</f>
        <v>0</v>
      </c>
      <c r="N17" s="291"/>
      <c r="O17" s="276"/>
    </row>
    <row r="18" spans="1:15" ht="13.5" customHeight="1" thickBot="1">
      <c r="A18" s="276"/>
      <c r="B18" s="277"/>
      <c r="C18" s="295"/>
      <c r="D18" s="296"/>
      <c r="E18" s="297"/>
      <c r="F18" s="292"/>
      <c r="G18" s="297"/>
      <c r="H18" s="298"/>
      <c r="I18" s="293"/>
      <c r="J18" s="299"/>
      <c r="K18" s="277"/>
      <c r="L18" s="284"/>
      <c r="M18" s="284"/>
      <c r="N18" s="262">
        <f>IF(L19=0,0,(H19-H17)/(L19-L17))</f>
        <v>0</v>
      </c>
      <c r="O18" s="262">
        <f>IF(L19-L17&lt;0,0,L19-L17)</f>
        <v>0</v>
      </c>
    </row>
    <row r="19" spans="1:15" ht="12.75" customHeight="1" thickBot="1">
      <c r="A19" s="262">
        <f>IF(C19=0,0,CONCATENATE(B19," ",$D$2))</f>
        <v>0</v>
      </c>
      <c r="B19" s="263">
        <v>8</v>
      </c>
      <c r="C19" s="267">
        <v>0</v>
      </c>
      <c r="D19" s="285">
        <v>0</v>
      </c>
      <c r="E19" s="286">
        <f>D19*C19</f>
        <v>0</v>
      </c>
      <c r="F19" s="287">
        <f>IF(C19=0,0,$F$5)</f>
        <v>0</v>
      </c>
      <c r="G19" s="286">
        <f>F19*D19</f>
        <v>0</v>
      </c>
      <c r="H19" s="288">
        <f>E19-G19</f>
        <v>0</v>
      </c>
      <c r="I19" s="289">
        <f>IF(C19=0,0,$I$5)</f>
        <v>0</v>
      </c>
      <c r="J19" s="290">
        <f>H19-I19</f>
        <v>0</v>
      </c>
      <c r="K19" s="300">
        <f>C19-F19</f>
        <v>0</v>
      </c>
      <c r="L19" s="273">
        <f>D19/$D$3</f>
        <v>0</v>
      </c>
      <c r="M19" s="273">
        <f>IF(L19=0,0,H19/L19)</f>
        <v>0</v>
      </c>
      <c r="N19" s="291"/>
      <c r="O19" s="276"/>
    </row>
    <row r="20" spans="1:14" ht="13.5" customHeight="1" thickBot="1">
      <c r="A20" s="276"/>
      <c r="B20" s="277"/>
      <c r="C20" s="295"/>
      <c r="D20" s="296"/>
      <c r="E20" s="297"/>
      <c r="F20" s="294"/>
      <c r="G20" s="297"/>
      <c r="H20" s="298"/>
      <c r="I20" s="301"/>
      <c r="J20" s="299"/>
      <c r="K20" s="277"/>
      <c r="L20" s="284"/>
      <c r="M20" s="284"/>
      <c r="N20" s="302"/>
    </row>
    <row r="21" spans="3:14" ht="12.75" hidden="1">
      <c r="C21" s="303"/>
      <c r="D21" s="304"/>
      <c r="E21" s="304"/>
      <c r="F21" s="303"/>
      <c r="G21" s="304"/>
      <c r="H21" s="304"/>
      <c r="I21" s="304"/>
      <c r="J21" s="304"/>
      <c r="K21" s="305"/>
      <c r="L21" s="302"/>
      <c r="M21" s="302"/>
      <c r="N21" s="306"/>
    </row>
    <row r="22" spans="3:14" ht="12.75" hidden="1">
      <c r="C22" s="303"/>
      <c r="D22" s="304"/>
      <c r="E22" s="304"/>
      <c r="F22" s="303"/>
      <c r="G22" s="304"/>
      <c r="H22" s="304"/>
      <c r="I22" s="304"/>
      <c r="J22" s="304"/>
      <c r="K22" s="306"/>
      <c r="L22" s="306"/>
      <c r="M22" s="302"/>
      <c r="N22" s="302"/>
    </row>
    <row r="23" spans="3:14" ht="12.75" hidden="1">
      <c r="C23" s="303"/>
      <c r="D23" s="304"/>
      <c r="E23" s="304"/>
      <c r="F23" s="303"/>
      <c r="G23" s="304"/>
      <c r="H23" s="304"/>
      <c r="I23" s="304"/>
      <c r="J23" s="304"/>
      <c r="K23" s="305"/>
      <c r="L23" s="302"/>
      <c r="M23" s="302"/>
      <c r="N23" s="306"/>
    </row>
    <row r="24" spans="3:13" ht="12.75" hidden="1">
      <c r="C24" s="303"/>
      <c r="D24" s="304"/>
      <c r="E24" s="304"/>
      <c r="F24" s="303"/>
      <c r="G24" s="304"/>
      <c r="H24" s="304"/>
      <c r="I24" s="304"/>
      <c r="J24" s="304"/>
      <c r="K24" s="306"/>
      <c r="L24" s="306"/>
      <c r="M24" s="302"/>
    </row>
    <row r="25" spans="3:10" ht="21">
      <c r="C25" s="249" t="s">
        <v>179</v>
      </c>
      <c r="D25" s="307">
        <f>MAX(J5:J24)</f>
        <v>4800000</v>
      </c>
      <c r="E25" s="249" t="s">
        <v>180</v>
      </c>
      <c r="F25" s="308"/>
      <c r="G25" s="309"/>
      <c r="H25" s="308"/>
      <c r="I25" s="308"/>
      <c r="J25" s="310"/>
    </row>
    <row r="26" spans="3:10" ht="21">
      <c r="C26" s="311" t="s">
        <v>181</v>
      </c>
      <c r="D26" s="309">
        <f>IF(D25=J5,C5,IF(D25=J7,C7,IF(D25=J9,C9,IF(D25=J11,C11,IF(D25=J13,C13,IF(D25=J15,C15,IF(D25=J17,C17,IF(D25=J19,C19,"ingen"))))))))</f>
        <v>1600</v>
      </c>
      <c r="E26" s="309"/>
      <c r="F26" s="308"/>
      <c r="G26" s="309"/>
      <c r="H26" s="308"/>
      <c r="I26" s="308"/>
      <c r="J26" s="310"/>
    </row>
    <row r="27" spans="3:10" ht="21">
      <c r="C27" s="311" t="s">
        <v>182</v>
      </c>
      <c r="D27" s="309">
        <f>IF($D$25=J5,D5,IF($D$25=J7,D7,IF($D$25=J9,D9,IF($D$25=J11,D11,IF($D$25=J13,D13,IF($D$25=J15,D15,IF($D$25=J17,D17,IF(D26=J19,D19,"ingen"))))))))</f>
        <v>6000</v>
      </c>
      <c r="E27" s="309"/>
      <c r="F27" s="308"/>
      <c r="G27" s="309"/>
      <c r="H27" s="308"/>
      <c r="I27" s="308"/>
      <c r="J27" s="310"/>
    </row>
    <row r="28" spans="3:10" ht="21" hidden="1">
      <c r="C28" s="311"/>
      <c r="D28" s="309"/>
      <c r="E28" s="309"/>
      <c r="F28" s="308"/>
      <c r="G28" s="309"/>
      <c r="H28" s="308"/>
      <c r="I28" s="308"/>
      <c r="J28" s="310"/>
    </row>
    <row r="29" ht="18">
      <c r="C29" s="250"/>
    </row>
    <row r="30" spans="3:4" ht="15.75">
      <c r="C30" s="251" t="s">
        <v>161</v>
      </c>
      <c r="D30" s="312" t="s">
        <v>183</v>
      </c>
    </row>
    <row r="31" spans="3:5" ht="16.5" thickBot="1">
      <c r="C31" s="251" t="s">
        <v>163</v>
      </c>
      <c r="D31" s="312">
        <v>1</v>
      </c>
      <c r="E31" s="249" t="s">
        <v>164</v>
      </c>
    </row>
    <row r="32" spans="1:15" ht="30.75" thickBot="1">
      <c r="A32" s="313" t="str">
        <f>A4</f>
        <v>Navn</v>
      </c>
      <c r="B32" s="253" t="str">
        <f>B4</f>
        <v>Nr.</v>
      </c>
      <c r="C32" s="254" t="s">
        <v>167</v>
      </c>
      <c r="D32" s="255" t="s">
        <v>168</v>
      </c>
      <c r="E32" s="255" t="s">
        <v>28</v>
      </c>
      <c r="F32" s="255" t="s">
        <v>169</v>
      </c>
      <c r="G32" s="255" t="s">
        <v>170</v>
      </c>
      <c r="H32" s="255" t="s">
        <v>171</v>
      </c>
      <c r="I32" s="255" t="s">
        <v>172</v>
      </c>
      <c r="J32" s="256" t="s">
        <v>173</v>
      </c>
      <c r="K32" s="257" t="s">
        <v>174</v>
      </c>
      <c r="L32" s="258" t="s">
        <v>175</v>
      </c>
      <c r="M32" s="259" t="s">
        <v>176</v>
      </c>
      <c r="N32" s="260" t="s">
        <v>177</v>
      </c>
      <c r="O32" s="261" t="s">
        <v>184</v>
      </c>
    </row>
    <row r="33" spans="1:15" ht="13.5" thickBot="1">
      <c r="A33" s="262" t="str">
        <f>IF(C33=0,0,CONCATENATE(B33," ",$D$30))</f>
        <v>1 Tysk</v>
      </c>
      <c r="B33" s="263">
        <f>B5</f>
        <v>1</v>
      </c>
      <c r="C33" s="314">
        <v>2150</v>
      </c>
      <c r="D33" s="315">
        <v>1000</v>
      </c>
      <c r="E33" s="266">
        <f>D33*C33</f>
        <v>2150000</v>
      </c>
      <c r="F33" s="316">
        <v>1200</v>
      </c>
      <c r="G33" s="266">
        <f>F33*D33</f>
        <v>1200000</v>
      </c>
      <c r="H33" s="268">
        <f>E33-G33</f>
        <v>950000</v>
      </c>
      <c r="I33" s="317">
        <v>0</v>
      </c>
      <c r="J33" s="270">
        <f>H33-I33</f>
        <v>950000</v>
      </c>
      <c r="K33" s="271">
        <f>C33-F33</f>
        <v>950</v>
      </c>
      <c r="L33" s="272">
        <f>D33/$D$31</f>
        <v>1000</v>
      </c>
      <c r="M33" s="273">
        <f>IF(L33=0,0,H33/L33)</f>
        <v>950</v>
      </c>
      <c r="N33" s="274">
        <f>IF(L33=0,0,H33/L33)</f>
        <v>950</v>
      </c>
      <c r="O33" s="275">
        <f>L33</f>
        <v>1000</v>
      </c>
    </row>
    <row r="34" spans="1:15" ht="13.5" thickBot="1">
      <c r="A34" s="276"/>
      <c r="B34" s="277"/>
      <c r="C34" s="318"/>
      <c r="D34" s="319"/>
      <c r="E34" s="280"/>
      <c r="F34" s="318"/>
      <c r="G34" s="280"/>
      <c r="H34" s="281"/>
      <c r="I34" s="320"/>
      <c r="J34" s="283"/>
      <c r="K34" s="277"/>
      <c r="L34" s="277"/>
      <c r="M34" s="284"/>
      <c r="N34" s="262">
        <f>IF(L35=0,0,(H35-H33)/(L35-L33))</f>
        <v>850</v>
      </c>
      <c r="O34" s="262">
        <f>IF(L35-L33&lt;0,0,(L35-L33))</f>
        <v>1000</v>
      </c>
    </row>
    <row r="35" spans="1:15" ht="13.5" thickBot="1">
      <c r="A35" s="262" t="str">
        <f>IF(C35=0,0,CONCATENATE(B35," ",$D$30))</f>
        <v>2 Tysk</v>
      </c>
      <c r="B35" s="263">
        <f>B7</f>
        <v>2</v>
      </c>
      <c r="C35" s="316">
        <f>C33-50</f>
        <v>2100</v>
      </c>
      <c r="D35" s="321">
        <f>D33+1000</f>
        <v>2000</v>
      </c>
      <c r="E35" s="286">
        <f>D35*C35</f>
        <v>4200000</v>
      </c>
      <c r="F35" s="287">
        <f>IF(C35=0,0,$F$33)</f>
        <v>1200</v>
      </c>
      <c r="G35" s="286">
        <f>F35*D35</f>
        <v>2400000</v>
      </c>
      <c r="H35" s="288">
        <f>E35-G35</f>
        <v>1800000</v>
      </c>
      <c r="I35" s="289">
        <f>IF(C35=0,0,$I$33)</f>
        <v>0</v>
      </c>
      <c r="J35" s="290">
        <f>H35-I35</f>
        <v>1800000</v>
      </c>
      <c r="K35" s="271">
        <f>C35-F35</f>
        <v>900</v>
      </c>
      <c r="L35" s="272">
        <f>D35/$D$31</f>
        <v>2000</v>
      </c>
      <c r="M35" s="273">
        <f>IF(L35=0,0,H35/L35)</f>
        <v>900</v>
      </c>
      <c r="N35" s="291"/>
      <c r="O35" s="276"/>
    </row>
    <row r="36" spans="1:15" ht="13.5" thickBot="1">
      <c r="A36" s="276"/>
      <c r="B36" s="277"/>
      <c r="C36" s="318"/>
      <c r="D36" s="319"/>
      <c r="E36" s="280"/>
      <c r="F36" s="292"/>
      <c r="G36" s="280"/>
      <c r="H36" s="281"/>
      <c r="I36" s="293"/>
      <c r="J36" s="283"/>
      <c r="K36" s="277"/>
      <c r="L36" s="277"/>
      <c r="M36" s="284"/>
      <c r="N36" s="262">
        <f>IF(L37=0,0,(H37-H35)/(L37-L35))</f>
        <v>750</v>
      </c>
      <c r="O36" s="262">
        <f>IF(L37-L35&lt;0,0,(L37-L35))</f>
        <v>1000</v>
      </c>
    </row>
    <row r="37" spans="1:15" ht="13.5" customHeight="1" thickBot="1">
      <c r="A37" s="262" t="str">
        <f>IF(C37=0,0,CONCATENATE(B37," ",$D$30))</f>
        <v>3 Tysk</v>
      </c>
      <c r="B37" s="263">
        <f>B9</f>
        <v>3</v>
      </c>
      <c r="C37" s="316">
        <f>C35-50</f>
        <v>2050</v>
      </c>
      <c r="D37" s="321">
        <f>D35+1000</f>
        <v>3000</v>
      </c>
      <c r="E37" s="286">
        <f>D37*C37</f>
        <v>6150000</v>
      </c>
      <c r="F37" s="287">
        <f>IF(C37=0,0,$F$33)</f>
        <v>1200</v>
      </c>
      <c r="G37" s="286">
        <f>F37*D37</f>
        <v>3600000</v>
      </c>
      <c r="H37" s="288">
        <f>E37-G37</f>
        <v>2550000</v>
      </c>
      <c r="I37" s="289">
        <f>IF(C37=0,0,$I$33)</f>
        <v>0</v>
      </c>
      <c r="J37" s="290">
        <f>H37-I37</f>
        <v>2550000</v>
      </c>
      <c r="K37" s="271">
        <f>C37-F37</f>
        <v>850</v>
      </c>
      <c r="L37" s="272">
        <f>D37/$D$31</f>
        <v>3000</v>
      </c>
      <c r="M37" s="273">
        <f>IF(L37=0,0,H37/L37)</f>
        <v>850</v>
      </c>
      <c r="N37" s="291"/>
      <c r="O37" s="276"/>
    </row>
    <row r="38" spans="1:15" ht="13.5" customHeight="1" thickBot="1">
      <c r="A38" s="276"/>
      <c r="B38" s="277"/>
      <c r="C38" s="318"/>
      <c r="D38" s="319"/>
      <c r="E38" s="280"/>
      <c r="F38" s="292"/>
      <c r="G38" s="280"/>
      <c r="H38" s="281"/>
      <c r="I38" s="293"/>
      <c r="J38" s="283"/>
      <c r="K38" s="277"/>
      <c r="L38" s="277"/>
      <c r="M38" s="284"/>
      <c r="N38" s="262">
        <f>IF(L39=0,0,(H39-H37)/(L39-L37))</f>
        <v>650</v>
      </c>
      <c r="O38" s="262">
        <f>IF(L39-L37&lt;0,0,(L39-L37))</f>
        <v>1000</v>
      </c>
    </row>
    <row r="39" spans="1:15" ht="13.5" customHeight="1" thickBot="1">
      <c r="A39" s="262" t="str">
        <f>IF(C39=0,0,CONCATENATE(B39," ",$D$30))</f>
        <v>4 Tysk</v>
      </c>
      <c r="B39" s="263">
        <f>B11</f>
        <v>4</v>
      </c>
      <c r="C39" s="316">
        <f>C37-50</f>
        <v>2000</v>
      </c>
      <c r="D39" s="321">
        <f>D37+1000</f>
        <v>4000</v>
      </c>
      <c r="E39" s="286">
        <f>D39*C39</f>
        <v>8000000</v>
      </c>
      <c r="F39" s="287">
        <f>IF(C39=0,0,$F$33)</f>
        <v>1200</v>
      </c>
      <c r="G39" s="286">
        <f>F39*D39</f>
        <v>4800000</v>
      </c>
      <c r="H39" s="288">
        <f>E39-G39</f>
        <v>3200000</v>
      </c>
      <c r="I39" s="289">
        <f>IF(C39=0,0,$I$33)</f>
        <v>0</v>
      </c>
      <c r="J39" s="290">
        <f>H39-I39</f>
        <v>3200000</v>
      </c>
      <c r="K39" s="271">
        <f>C39-F39</f>
        <v>800</v>
      </c>
      <c r="L39" s="272">
        <f>D39/$D$31</f>
        <v>4000</v>
      </c>
      <c r="M39" s="273">
        <f>IF(L39=0,0,H39/L39)</f>
        <v>800</v>
      </c>
      <c r="N39" s="291"/>
      <c r="O39" s="276"/>
    </row>
    <row r="40" spans="1:15" ht="13.5" customHeight="1" thickBot="1">
      <c r="A40" s="276"/>
      <c r="B40" s="277"/>
      <c r="C40" s="318"/>
      <c r="D40" s="319"/>
      <c r="E40" s="280"/>
      <c r="F40" s="292"/>
      <c r="G40" s="280"/>
      <c r="H40" s="281"/>
      <c r="I40" s="293"/>
      <c r="J40" s="283"/>
      <c r="K40" s="277"/>
      <c r="L40" s="277"/>
      <c r="M40" s="284"/>
      <c r="N40" s="262">
        <f>IF(L41=0,0,(H41-H39)/(L41-L39))</f>
        <v>550</v>
      </c>
      <c r="O40" s="262">
        <f>IF(L41-L39&lt;0,0,(L41-L39))</f>
        <v>1000</v>
      </c>
    </row>
    <row r="41" spans="1:15" ht="13.5" customHeight="1" thickBot="1">
      <c r="A41" s="262" t="str">
        <f>IF(C41=0,0,CONCATENATE(B41," ",$D$30))</f>
        <v>5 Tysk</v>
      </c>
      <c r="B41" s="263">
        <f>B13</f>
        <v>5</v>
      </c>
      <c r="C41" s="316">
        <f>C39-50</f>
        <v>1950</v>
      </c>
      <c r="D41" s="321">
        <f>D39+1000</f>
        <v>5000</v>
      </c>
      <c r="E41" s="286">
        <f>D41*C41</f>
        <v>9750000</v>
      </c>
      <c r="F41" s="287">
        <f>IF(C41=0,0,$F$33)</f>
        <v>1200</v>
      </c>
      <c r="G41" s="286">
        <f>F41*D41</f>
        <v>6000000</v>
      </c>
      <c r="H41" s="288">
        <f>E41-G41</f>
        <v>3750000</v>
      </c>
      <c r="I41" s="289">
        <f>IF(C41=0,0,$I$33)</f>
        <v>0</v>
      </c>
      <c r="J41" s="290">
        <f>H41-I41</f>
        <v>3750000</v>
      </c>
      <c r="K41" s="271">
        <f>C41-F41</f>
        <v>750</v>
      </c>
      <c r="L41" s="272">
        <f>D41/$D$31</f>
        <v>5000</v>
      </c>
      <c r="M41" s="273">
        <f>IF(L41=0,0,H41/L41)</f>
        <v>750</v>
      </c>
      <c r="N41" s="291"/>
      <c r="O41" s="276"/>
    </row>
    <row r="42" spans="1:15" ht="13.5" customHeight="1" thickBot="1">
      <c r="A42" s="276"/>
      <c r="B42" s="277"/>
      <c r="C42" s="318"/>
      <c r="D42" s="319"/>
      <c r="E42" s="280"/>
      <c r="F42" s="292"/>
      <c r="G42" s="280"/>
      <c r="H42" s="281"/>
      <c r="I42" s="293"/>
      <c r="J42" s="283"/>
      <c r="K42" s="277"/>
      <c r="L42" s="277"/>
      <c r="M42" s="284"/>
      <c r="N42" s="262">
        <f>IF(L43=0,0,(H43-H41)/(L43-L41))</f>
        <v>450</v>
      </c>
      <c r="O42" s="262">
        <f>IF(L43-L41&lt;0,0,(L43-L41))</f>
        <v>1000</v>
      </c>
    </row>
    <row r="43" spans="1:15" ht="13.5" customHeight="1" thickBot="1">
      <c r="A43" s="262" t="str">
        <f>IF(C43=0,0,CONCATENATE(B43," ",$D$30))</f>
        <v>6 Tysk</v>
      </c>
      <c r="B43" s="263">
        <f>B15</f>
        <v>6</v>
      </c>
      <c r="C43" s="316">
        <f>C41-50</f>
        <v>1900</v>
      </c>
      <c r="D43" s="321">
        <f>D41+1000</f>
        <v>6000</v>
      </c>
      <c r="E43" s="286">
        <f>D43*C43</f>
        <v>11400000</v>
      </c>
      <c r="F43" s="287">
        <f>IF(C43=0,0,$F$33)</f>
        <v>1200</v>
      </c>
      <c r="G43" s="286">
        <f>F43*D43</f>
        <v>7200000</v>
      </c>
      <c r="H43" s="288">
        <f>E43-G43</f>
        <v>4200000</v>
      </c>
      <c r="I43" s="289">
        <f>IF(C43=0,0,$I$33)</f>
        <v>0</v>
      </c>
      <c r="J43" s="290">
        <f>H43-I43</f>
        <v>4200000</v>
      </c>
      <c r="K43" s="271">
        <f>C43-F43</f>
        <v>700</v>
      </c>
      <c r="L43" s="272">
        <f>D43/$D$31</f>
        <v>6000</v>
      </c>
      <c r="M43" s="273">
        <f>IF(L43=0,0,H43/L43)</f>
        <v>700</v>
      </c>
      <c r="N43" s="291"/>
      <c r="O43" s="276"/>
    </row>
    <row r="44" spans="1:15" ht="13.5" customHeight="1" thickBot="1">
      <c r="A44" s="276"/>
      <c r="B44" s="277"/>
      <c r="C44" s="318"/>
      <c r="D44" s="319"/>
      <c r="E44" s="280"/>
      <c r="F44" s="292"/>
      <c r="G44" s="280"/>
      <c r="H44" s="281"/>
      <c r="I44" s="293"/>
      <c r="J44" s="283"/>
      <c r="K44" s="277"/>
      <c r="L44" s="277"/>
      <c r="M44" s="284"/>
      <c r="N44" s="262">
        <f>IF(L45=0,0,(H45-H43)/(L45-L43))</f>
        <v>350</v>
      </c>
      <c r="O44" s="262">
        <f>IF(L45-L43&lt;0,0,(L45-L43))</f>
        <v>1000</v>
      </c>
    </row>
    <row r="45" spans="1:15" ht="13.5" customHeight="1" thickBot="1">
      <c r="A45" s="262" t="str">
        <f>IF(C45=0,0,CONCATENATE(B45," ",$D$30))</f>
        <v>7 Tysk</v>
      </c>
      <c r="B45" s="263">
        <f>B17</f>
        <v>7</v>
      </c>
      <c r="C45" s="316">
        <f>C43-50</f>
        <v>1850</v>
      </c>
      <c r="D45" s="321">
        <f>D43+1000</f>
        <v>7000</v>
      </c>
      <c r="E45" s="286">
        <f>D45*C45</f>
        <v>12950000</v>
      </c>
      <c r="F45" s="287">
        <f>IF(C45=0,0,$F$33)</f>
        <v>1200</v>
      </c>
      <c r="G45" s="286">
        <f>F45*D45</f>
        <v>8400000</v>
      </c>
      <c r="H45" s="288">
        <f>E45-G45</f>
        <v>4550000</v>
      </c>
      <c r="I45" s="289">
        <f>IF(C45=0,0,$I$33)</f>
        <v>0</v>
      </c>
      <c r="J45" s="290">
        <f>H45-I45</f>
        <v>4550000</v>
      </c>
      <c r="K45" s="271">
        <f>C45-F45</f>
        <v>650</v>
      </c>
      <c r="L45" s="272">
        <f>D45/$D$31</f>
        <v>7000</v>
      </c>
      <c r="M45" s="273">
        <f>IF(L45=0,0,H45/L45)</f>
        <v>650</v>
      </c>
      <c r="N45" s="291"/>
      <c r="O45" s="276"/>
    </row>
    <row r="46" spans="1:15" ht="13.5" customHeight="1" thickBot="1">
      <c r="A46" s="276"/>
      <c r="B46" s="277"/>
      <c r="C46" s="318"/>
      <c r="D46" s="319"/>
      <c r="E46" s="297"/>
      <c r="F46" s="292"/>
      <c r="G46" s="297"/>
      <c r="H46" s="298"/>
      <c r="I46" s="293"/>
      <c r="J46" s="299"/>
      <c r="K46" s="277"/>
      <c r="L46" s="277"/>
      <c r="M46" s="284"/>
      <c r="N46" s="262">
        <f>IF(L47=0,0,(H47-H45)/(L47-L45))</f>
        <v>0</v>
      </c>
      <c r="O46" s="262">
        <f>IF(L47-L45&lt;0,0,(L47-L45))</f>
        <v>0</v>
      </c>
    </row>
    <row r="47" spans="1:15" ht="13.5" customHeight="1" thickBot="1">
      <c r="A47" s="262">
        <f>IF(C47=0,0,CONCATENATE(B47," ",$D$30))</f>
        <v>0</v>
      </c>
      <c r="B47" s="263">
        <f>B19</f>
        <v>8</v>
      </c>
      <c r="C47" s="316">
        <v>0</v>
      </c>
      <c r="D47" s="321">
        <v>0</v>
      </c>
      <c r="E47" s="286">
        <f>D47*C47</f>
        <v>0</v>
      </c>
      <c r="F47" s="287">
        <f>IF(C47=0,0,$F$33)</f>
        <v>0</v>
      </c>
      <c r="G47" s="286">
        <f>F47*D47</f>
        <v>0</v>
      </c>
      <c r="H47" s="288">
        <f>E47-G47</f>
        <v>0</v>
      </c>
      <c r="I47" s="289">
        <f>IF(C47=0,0,$I$33)</f>
        <v>0</v>
      </c>
      <c r="J47" s="290">
        <f>H47-I47</f>
        <v>0</v>
      </c>
      <c r="K47" s="300">
        <f>C47-F47</f>
        <v>0</v>
      </c>
      <c r="L47" s="272">
        <f>D47/$D$31</f>
        <v>0</v>
      </c>
      <c r="M47" s="273">
        <f>IF(L47=0,0,H47/L47)</f>
        <v>0</v>
      </c>
      <c r="N47" s="291"/>
      <c r="O47" s="276"/>
    </row>
    <row r="48" spans="1:14" ht="13.5" customHeight="1" thickBot="1">
      <c r="A48" s="276"/>
      <c r="B48" s="277"/>
      <c r="C48" s="322"/>
      <c r="D48" s="323"/>
      <c r="E48" s="297"/>
      <c r="F48" s="294"/>
      <c r="G48" s="297"/>
      <c r="H48" s="298"/>
      <c r="I48" s="301"/>
      <c r="J48" s="299"/>
      <c r="K48" s="277"/>
      <c r="L48" s="277"/>
      <c r="M48" s="284"/>
      <c r="N48" s="302"/>
    </row>
    <row r="49" spans="3:14" ht="12.75" hidden="1">
      <c r="C49" s="303"/>
      <c r="D49" s="304"/>
      <c r="E49" s="304"/>
      <c r="F49" s="303"/>
      <c r="G49" s="304"/>
      <c r="H49" s="304"/>
      <c r="I49" s="304"/>
      <c r="J49" s="304"/>
      <c r="K49" s="305"/>
      <c r="L49" s="302"/>
      <c r="M49" s="302"/>
      <c r="N49" s="306"/>
    </row>
    <row r="50" spans="3:14" ht="12.75" hidden="1">
      <c r="C50" s="303"/>
      <c r="D50" s="304"/>
      <c r="E50" s="304"/>
      <c r="F50" s="303"/>
      <c r="G50" s="304"/>
      <c r="H50" s="304"/>
      <c r="I50" s="304"/>
      <c r="J50" s="304"/>
      <c r="K50" s="306"/>
      <c r="L50" s="306"/>
      <c r="M50" s="302"/>
      <c r="N50" s="302"/>
    </row>
    <row r="51" spans="3:14" ht="12.75" hidden="1">
      <c r="C51" s="303"/>
      <c r="D51" s="304"/>
      <c r="E51" s="304"/>
      <c r="F51" s="303"/>
      <c r="G51" s="304"/>
      <c r="H51" s="304"/>
      <c r="I51" s="304"/>
      <c r="J51" s="304"/>
      <c r="K51" s="305"/>
      <c r="L51" s="302"/>
      <c r="M51" s="302"/>
      <c r="N51" s="306"/>
    </row>
    <row r="52" spans="3:13" ht="12.75" hidden="1">
      <c r="C52" s="303"/>
      <c r="D52" s="304"/>
      <c r="E52" s="304"/>
      <c r="F52" s="303"/>
      <c r="G52" s="304"/>
      <c r="H52" s="304"/>
      <c r="I52" s="304"/>
      <c r="J52" s="304"/>
      <c r="K52" s="306"/>
      <c r="L52" s="306"/>
      <c r="M52" s="302"/>
    </row>
    <row r="53" spans="3:10" ht="21">
      <c r="C53" s="249" t="s">
        <v>179</v>
      </c>
      <c r="D53" s="307">
        <f>MAX(J33:J52)</f>
        <v>4550000</v>
      </c>
      <c r="E53" s="249" t="s">
        <v>180</v>
      </c>
      <c r="F53" s="308"/>
      <c r="G53" s="309"/>
      <c r="H53" s="308"/>
      <c r="I53" s="308"/>
      <c r="J53" s="310"/>
    </row>
    <row r="54" spans="3:10" ht="21">
      <c r="C54" s="311" t="s">
        <v>181</v>
      </c>
      <c r="D54" s="309">
        <f>IF(D53=J33,C33,IF(D53=J35,C35,IF(D53=J37,C37,IF(D53=J39,C39,IF(D53=J41,C41,IF(D53=J43,C43,IF(D53=J45,C45,IF(D53=J47,C47,"ingen"))))))))</f>
        <v>1850</v>
      </c>
      <c r="E54" s="309"/>
      <c r="F54" s="308"/>
      <c r="G54" s="309"/>
      <c r="H54" s="308"/>
      <c r="I54" s="308"/>
      <c r="J54" s="310"/>
    </row>
    <row r="55" spans="3:10" ht="21">
      <c r="C55" s="311" t="s">
        <v>182</v>
      </c>
      <c r="D55" s="309">
        <f>IF(D53=J33,D33,IF(D53=J35,D35,IF(D53=J37,D37,IF(D53=J39,D39,IF(D53=J41,D41,IF(D53=J43,D43,IF(D53=J45,D45,IF(D53=J47,D47,"ingen"))))))))</f>
        <v>7000</v>
      </c>
      <c r="E55" s="309"/>
      <c r="F55" s="308"/>
      <c r="G55" s="309"/>
      <c r="H55" s="308"/>
      <c r="I55" s="308"/>
      <c r="J55" s="310"/>
    </row>
    <row r="56" ht="12.75"/>
    <row r="57" ht="17.25" hidden="1">
      <c r="C57" s="250"/>
    </row>
    <row r="58" spans="3:4" ht="15.75">
      <c r="C58" s="251" t="s">
        <v>161</v>
      </c>
      <c r="D58" s="324" t="s">
        <v>82</v>
      </c>
    </row>
    <row r="59" spans="3:5" ht="16.5" thickBot="1">
      <c r="C59" s="251" t="s">
        <v>163</v>
      </c>
      <c r="D59" s="324">
        <v>1</v>
      </c>
      <c r="E59" s="249" t="s">
        <v>164</v>
      </c>
    </row>
    <row r="60" spans="1:15" ht="30.75" thickBot="1">
      <c r="A60" s="313" t="str">
        <f>A32</f>
        <v>Navn</v>
      </c>
      <c r="B60" s="253" t="str">
        <f>B32</f>
        <v>Nr.</v>
      </c>
      <c r="C60" s="254" t="s">
        <v>167</v>
      </c>
      <c r="D60" s="255" t="s">
        <v>168</v>
      </c>
      <c r="E60" s="255" t="s">
        <v>28</v>
      </c>
      <c r="F60" s="255" t="s">
        <v>169</v>
      </c>
      <c r="G60" s="255" t="s">
        <v>170</v>
      </c>
      <c r="H60" s="255" t="s">
        <v>171</v>
      </c>
      <c r="I60" s="255" t="s">
        <v>172</v>
      </c>
      <c r="J60" s="256" t="s">
        <v>173</v>
      </c>
      <c r="K60" s="257" t="s">
        <v>174</v>
      </c>
      <c r="L60" s="258" t="s">
        <v>175</v>
      </c>
      <c r="M60" s="259" t="s">
        <v>176</v>
      </c>
      <c r="N60" s="260" t="s">
        <v>177</v>
      </c>
      <c r="O60" s="261" t="s">
        <v>184</v>
      </c>
    </row>
    <row r="61" spans="1:15" ht="13.5" thickBot="1">
      <c r="A61" s="262">
        <f>IF(C61=0,0,CONCATENATE(B61," ",$D$58))</f>
        <v>0</v>
      </c>
      <c r="B61" s="263">
        <f>B33</f>
        <v>1</v>
      </c>
      <c r="C61" s="325">
        <v>0</v>
      </c>
      <c r="D61" s="326">
        <v>0</v>
      </c>
      <c r="E61" s="266">
        <f>D61*C61</f>
        <v>0</v>
      </c>
      <c r="F61" s="327">
        <v>0</v>
      </c>
      <c r="G61" s="266">
        <f>F61*D61</f>
        <v>0</v>
      </c>
      <c r="H61" s="268">
        <f>E61-G61</f>
        <v>0</v>
      </c>
      <c r="I61" s="328">
        <v>0</v>
      </c>
      <c r="J61" s="270">
        <f>H61-I61</f>
        <v>0</v>
      </c>
      <c r="K61" s="271">
        <f>C61-F61</f>
        <v>0</v>
      </c>
      <c r="L61" s="272">
        <f>D61/$D$59</f>
        <v>0</v>
      </c>
      <c r="M61" s="273">
        <f>IF(L61=0,0,H61/L61)</f>
        <v>0</v>
      </c>
      <c r="N61" s="274">
        <f>IF(L61=0,0,H61/L61)</f>
        <v>0</v>
      </c>
      <c r="O61" s="275">
        <f>L61</f>
        <v>0</v>
      </c>
    </row>
    <row r="62" spans="1:15" ht="13.5" thickBot="1">
      <c r="A62" s="276"/>
      <c r="B62" s="277"/>
      <c r="C62" s="329"/>
      <c r="D62" s="330"/>
      <c r="E62" s="280"/>
      <c r="F62" s="329"/>
      <c r="G62" s="280"/>
      <c r="H62" s="281"/>
      <c r="I62" s="331"/>
      <c r="J62" s="283"/>
      <c r="K62" s="277"/>
      <c r="L62" s="277"/>
      <c r="M62" s="284"/>
      <c r="N62" s="262">
        <f>IF(L63=0,0,(H63-H61)/(L63-L61))</f>
        <v>0</v>
      </c>
      <c r="O62" s="262">
        <f>IF(L63-L61&lt;0,0,L63-L61)</f>
        <v>0</v>
      </c>
    </row>
    <row r="63" spans="1:15" ht="13.5" thickBot="1">
      <c r="A63" s="262">
        <f>IF(C63=0,0,CONCATENATE(B63," ",$D$58))</f>
        <v>0</v>
      </c>
      <c r="B63" s="263">
        <f>B35</f>
        <v>2</v>
      </c>
      <c r="C63" s="327">
        <v>0</v>
      </c>
      <c r="D63" s="332">
        <v>0</v>
      </c>
      <c r="E63" s="286">
        <f>D63*C63</f>
        <v>0</v>
      </c>
      <c r="F63" s="287">
        <f>IF(C63=0,0,$F$61)</f>
        <v>0</v>
      </c>
      <c r="G63" s="286">
        <f>F63*D63</f>
        <v>0</v>
      </c>
      <c r="H63" s="288">
        <f>E63-G63</f>
        <v>0</v>
      </c>
      <c r="I63" s="289">
        <f>IF(C63=0,0,$I$61)</f>
        <v>0</v>
      </c>
      <c r="J63" s="290">
        <f>H63-I63</f>
        <v>0</v>
      </c>
      <c r="K63" s="271">
        <f>C63-F63</f>
        <v>0</v>
      </c>
      <c r="L63" s="272">
        <f>D63/$D$59</f>
        <v>0</v>
      </c>
      <c r="M63" s="273">
        <f>IF(L63=0,0,H63/L63)</f>
        <v>0</v>
      </c>
      <c r="N63" s="291"/>
      <c r="O63" s="276"/>
    </row>
    <row r="64" spans="1:15" ht="13.5" thickBot="1">
      <c r="A64" s="276"/>
      <c r="B64" s="277"/>
      <c r="C64" s="329"/>
      <c r="D64" s="330"/>
      <c r="E64" s="280"/>
      <c r="F64" s="292"/>
      <c r="G64" s="280"/>
      <c r="H64" s="281"/>
      <c r="I64" s="293"/>
      <c r="J64" s="283"/>
      <c r="K64" s="277"/>
      <c r="L64" s="277"/>
      <c r="M64" s="284"/>
      <c r="N64" s="262">
        <f>IF(L65=0,0,(H65-H63)/(L65-L63))</f>
        <v>0</v>
      </c>
      <c r="O64" s="262">
        <f>IF(L65-L63&lt;0,0,L65-L63)</f>
        <v>0</v>
      </c>
    </row>
    <row r="65" spans="1:15" ht="13.5" customHeight="1" thickBot="1">
      <c r="A65" s="262">
        <f>IF(C65=0,0,CONCATENATE(B65," ",$D$58))</f>
        <v>0</v>
      </c>
      <c r="B65" s="263">
        <f>B37</f>
        <v>3</v>
      </c>
      <c r="C65" s="327">
        <v>0</v>
      </c>
      <c r="D65" s="332">
        <v>0</v>
      </c>
      <c r="E65" s="286">
        <f>D65*C65</f>
        <v>0</v>
      </c>
      <c r="F65" s="287">
        <f>IF(C65=0,0,$F$61)</f>
        <v>0</v>
      </c>
      <c r="G65" s="286">
        <f>F65*D65</f>
        <v>0</v>
      </c>
      <c r="H65" s="288">
        <f>E65-G65</f>
        <v>0</v>
      </c>
      <c r="I65" s="289">
        <f>IF(C65=0,0,$I$61)</f>
        <v>0</v>
      </c>
      <c r="J65" s="290">
        <f>H65-I65</f>
        <v>0</v>
      </c>
      <c r="K65" s="271">
        <f>C65-F65</f>
        <v>0</v>
      </c>
      <c r="L65" s="272">
        <f>D65/$D$59</f>
        <v>0</v>
      </c>
      <c r="M65" s="273">
        <f>IF(L65=0,0,H65/L65)</f>
        <v>0</v>
      </c>
      <c r="N65" s="291"/>
      <c r="O65" s="276"/>
    </row>
    <row r="66" spans="1:15" ht="13.5" customHeight="1" thickBot="1">
      <c r="A66" s="276"/>
      <c r="B66" s="277"/>
      <c r="C66" s="329"/>
      <c r="D66" s="330"/>
      <c r="E66" s="280"/>
      <c r="F66" s="292"/>
      <c r="G66" s="280"/>
      <c r="H66" s="281"/>
      <c r="I66" s="293"/>
      <c r="J66" s="283"/>
      <c r="K66" s="277"/>
      <c r="L66" s="277"/>
      <c r="M66" s="284"/>
      <c r="N66" s="262">
        <f>IF(L67=0,0,(H67-H65)/(L67-L65))</f>
        <v>0</v>
      </c>
      <c r="O66" s="262">
        <f>IF(L67-L65&lt;0,0,L67-L65)</f>
        <v>0</v>
      </c>
    </row>
    <row r="67" spans="1:15" ht="13.5" customHeight="1" thickBot="1">
      <c r="A67" s="262">
        <f>IF(C67=0,0,CONCATENATE(B67," ",$D$58))</f>
        <v>0</v>
      </c>
      <c r="B67" s="263">
        <f>B39</f>
        <v>4</v>
      </c>
      <c r="C67" s="327">
        <v>0</v>
      </c>
      <c r="D67" s="332">
        <v>0</v>
      </c>
      <c r="E67" s="286">
        <f>D67*C67</f>
        <v>0</v>
      </c>
      <c r="F67" s="287">
        <f>IF(C67=0,0,$F$61)</f>
        <v>0</v>
      </c>
      <c r="G67" s="286">
        <f>F67*D67</f>
        <v>0</v>
      </c>
      <c r="H67" s="288">
        <f>E67-G67</f>
        <v>0</v>
      </c>
      <c r="I67" s="289">
        <f>IF(C67=0,0,$I$61)</f>
        <v>0</v>
      </c>
      <c r="J67" s="290">
        <f>H67-I67</f>
        <v>0</v>
      </c>
      <c r="K67" s="271">
        <f>C67-F67</f>
        <v>0</v>
      </c>
      <c r="L67" s="272">
        <f>D67/$D$59</f>
        <v>0</v>
      </c>
      <c r="M67" s="273">
        <f>IF(L67=0,0,H67/L67)</f>
        <v>0</v>
      </c>
      <c r="N67" s="291"/>
      <c r="O67" s="276"/>
    </row>
    <row r="68" spans="1:15" ht="13.5" customHeight="1" thickBot="1">
      <c r="A68" s="276"/>
      <c r="B68" s="277"/>
      <c r="C68" s="329"/>
      <c r="D68" s="330"/>
      <c r="E68" s="280"/>
      <c r="F68" s="292"/>
      <c r="G68" s="280"/>
      <c r="H68" s="281"/>
      <c r="I68" s="293"/>
      <c r="J68" s="283"/>
      <c r="K68" s="277"/>
      <c r="L68" s="277"/>
      <c r="M68" s="284"/>
      <c r="N68" s="262">
        <f>IF(L69=0,0,(H69-H67)/(L69-L67))</f>
        <v>0</v>
      </c>
      <c r="O68" s="262">
        <f>IF(L69-L67&lt;0,0,L69-L67)</f>
        <v>0</v>
      </c>
    </row>
    <row r="69" spans="1:15" ht="13.5" customHeight="1" thickBot="1">
      <c r="A69" s="262">
        <f>IF(C69=0,0,CONCATENATE(B69," ",$D$58))</f>
        <v>0</v>
      </c>
      <c r="B69" s="263">
        <f>B41</f>
        <v>5</v>
      </c>
      <c r="C69" s="327">
        <v>0</v>
      </c>
      <c r="D69" s="332">
        <v>0</v>
      </c>
      <c r="E69" s="286">
        <f>D69*C69</f>
        <v>0</v>
      </c>
      <c r="F69" s="287">
        <f>IF(C69=0,0,$F$61)</f>
        <v>0</v>
      </c>
      <c r="G69" s="286">
        <f>F69*D69</f>
        <v>0</v>
      </c>
      <c r="H69" s="288">
        <f>E69-G69</f>
        <v>0</v>
      </c>
      <c r="I69" s="289">
        <f>IF(C69=0,0,$I$61)</f>
        <v>0</v>
      </c>
      <c r="J69" s="290">
        <f>H69-I69</f>
        <v>0</v>
      </c>
      <c r="K69" s="271">
        <f>C69-F69</f>
        <v>0</v>
      </c>
      <c r="L69" s="272">
        <f>D69/$D$59</f>
        <v>0</v>
      </c>
      <c r="M69" s="273">
        <f>IF(L69=0,0,H69/L69)</f>
        <v>0</v>
      </c>
      <c r="N69" s="291"/>
      <c r="O69" s="276"/>
    </row>
    <row r="70" spans="1:15" ht="13.5" customHeight="1" thickBot="1">
      <c r="A70" s="276"/>
      <c r="B70" s="277"/>
      <c r="C70" s="329"/>
      <c r="D70" s="330"/>
      <c r="E70" s="280"/>
      <c r="F70" s="292"/>
      <c r="G70" s="280"/>
      <c r="H70" s="281"/>
      <c r="I70" s="293"/>
      <c r="J70" s="283"/>
      <c r="K70" s="277"/>
      <c r="L70" s="277"/>
      <c r="M70" s="284"/>
      <c r="N70" s="262">
        <f>IF(L71=0,0,(H71-H69)/(L71-L69))</f>
        <v>0</v>
      </c>
      <c r="O70" s="262">
        <f>IF(L71-L69&lt;0,0,L71-L69)</f>
        <v>0</v>
      </c>
    </row>
    <row r="71" spans="1:15" ht="13.5" customHeight="1" thickBot="1">
      <c r="A71" s="262">
        <f>IF(C71=0,0,CONCATENATE(B71," ",$D$58))</f>
        <v>0</v>
      </c>
      <c r="B71" s="263">
        <f>B43</f>
        <v>6</v>
      </c>
      <c r="C71" s="327">
        <v>0</v>
      </c>
      <c r="D71" s="332">
        <v>0</v>
      </c>
      <c r="E71" s="286">
        <f>D71*C71</f>
        <v>0</v>
      </c>
      <c r="F71" s="287">
        <f>IF(C71=0,0,$F$61)</f>
        <v>0</v>
      </c>
      <c r="G71" s="286">
        <f>F71*D71</f>
        <v>0</v>
      </c>
      <c r="H71" s="288">
        <f>E71-G71</f>
        <v>0</v>
      </c>
      <c r="I71" s="289">
        <f>IF(C71=0,0,$I$61)</f>
        <v>0</v>
      </c>
      <c r="J71" s="290">
        <f>H71-I71</f>
        <v>0</v>
      </c>
      <c r="K71" s="271">
        <f>C71-F71</f>
        <v>0</v>
      </c>
      <c r="L71" s="272">
        <f>D71/$D$59</f>
        <v>0</v>
      </c>
      <c r="M71" s="273">
        <f>IF(L71=0,0,H71/L71)</f>
        <v>0</v>
      </c>
      <c r="N71" s="291"/>
      <c r="O71" s="276"/>
    </row>
    <row r="72" spans="1:15" ht="13.5" customHeight="1" thickBot="1">
      <c r="A72" s="276"/>
      <c r="B72" s="277"/>
      <c r="C72" s="329"/>
      <c r="D72" s="330"/>
      <c r="E72" s="280"/>
      <c r="F72" s="292"/>
      <c r="G72" s="280"/>
      <c r="H72" s="281"/>
      <c r="I72" s="293"/>
      <c r="J72" s="283"/>
      <c r="K72" s="277"/>
      <c r="L72" s="277"/>
      <c r="M72" s="284"/>
      <c r="N72" s="262">
        <f>IF(L73=0,0,(H73-H71)/(L73-L71))</f>
        <v>0</v>
      </c>
      <c r="O72" s="262">
        <f>IF(L73-L71&lt;0,0,L73-L71)</f>
        <v>0</v>
      </c>
    </row>
    <row r="73" spans="1:15" ht="13.5" customHeight="1" thickBot="1">
      <c r="A73" s="262">
        <f>IF(C73=0,0,CONCATENATE(B73," ",$D$58))</f>
        <v>0</v>
      </c>
      <c r="B73" s="263">
        <f>B45</f>
        <v>7</v>
      </c>
      <c r="C73" s="327">
        <v>0</v>
      </c>
      <c r="D73" s="332">
        <v>0</v>
      </c>
      <c r="E73" s="286">
        <f>D73*C73</f>
        <v>0</v>
      </c>
      <c r="F73" s="287">
        <f>IF(C73=0,0,$F$61)</f>
        <v>0</v>
      </c>
      <c r="G73" s="286">
        <f>F73*D73</f>
        <v>0</v>
      </c>
      <c r="H73" s="288">
        <f>E73-G73</f>
        <v>0</v>
      </c>
      <c r="I73" s="289">
        <f>IF(C73=0,0,$I$61)</f>
        <v>0</v>
      </c>
      <c r="J73" s="290">
        <f>H73-I73</f>
        <v>0</v>
      </c>
      <c r="K73" s="271">
        <f>C73-F73</f>
        <v>0</v>
      </c>
      <c r="L73" s="272">
        <f>D73/$D$59</f>
        <v>0</v>
      </c>
      <c r="M73" s="273">
        <f>IF(L73=0,0,H73/L73)</f>
        <v>0</v>
      </c>
      <c r="N73" s="291"/>
      <c r="O73" s="276"/>
    </row>
    <row r="74" spans="1:15" ht="13.5" customHeight="1" thickBot="1">
      <c r="A74" s="276"/>
      <c r="B74" s="277"/>
      <c r="C74" s="333"/>
      <c r="D74" s="334"/>
      <c r="E74" s="297"/>
      <c r="F74" s="292"/>
      <c r="G74" s="297"/>
      <c r="H74" s="298"/>
      <c r="I74" s="293"/>
      <c r="J74" s="299"/>
      <c r="K74" s="277"/>
      <c r="L74" s="277"/>
      <c r="M74" s="284"/>
      <c r="N74" s="262">
        <f>IF(L75=0,0,(H75-H73)/(L75-L73))</f>
        <v>0</v>
      </c>
      <c r="O74" s="262">
        <f>IF(L75-L73&lt;0,0,L75-L73)</f>
        <v>0</v>
      </c>
    </row>
    <row r="75" spans="1:15" ht="13.5" customHeight="1" thickBot="1">
      <c r="A75" s="262">
        <f>IF(C75=0,0,CONCATENATE(B75," ",$D$58))</f>
        <v>0</v>
      </c>
      <c r="B75" s="263">
        <f>B47</f>
        <v>8</v>
      </c>
      <c r="C75" s="327">
        <v>0</v>
      </c>
      <c r="D75" s="332">
        <v>0</v>
      </c>
      <c r="E75" s="286">
        <f>D75*C75</f>
        <v>0</v>
      </c>
      <c r="F75" s="287">
        <f>IF(C75=0,0,$F$61)</f>
        <v>0</v>
      </c>
      <c r="G75" s="286">
        <f>F75*D75</f>
        <v>0</v>
      </c>
      <c r="H75" s="288">
        <f>E75-G75</f>
        <v>0</v>
      </c>
      <c r="I75" s="289">
        <f>IF(C75=0,0,$I$61)</f>
        <v>0</v>
      </c>
      <c r="J75" s="290">
        <f>H75-I75</f>
        <v>0</v>
      </c>
      <c r="K75" s="300">
        <f>C75-F75</f>
        <v>0</v>
      </c>
      <c r="L75" s="272">
        <f>D75/$D$59</f>
        <v>0</v>
      </c>
      <c r="M75" s="273">
        <f>IF(L75=0,0,H75/L75)</f>
        <v>0</v>
      </c>
      <c r="N75" s="291"/>
      <c r="O75" s="276"/>
    </row>
    <row r="76" spans="1:14" ht="13.5" customHeight="1" thickBot="1">
      <c r="A76" s="276"/>
      <c r="B76" s="277"/>
      <c r="C76" s="333"/>
      <c r="D76" s="334"/>
      <c r="E76" s="297"/>
      <c r="F76" s="294"/>
      <c r="G76" s="297"/>
      <c r="H76" s="298"/>
      <c r="I76" s="301"/>
      <c r="J76" s="299"/>
      <c r="K76" s="277"/>
      <c r="L76" s="277"/>
      <c r="M76" s="284"/>
      <c r="N76" s="302"/>
    </row>
    <row r="77" spans="3:14" ht="12.75" hidden="1">
      <c r="C77" s="303"/>
      <c r="D77" s="304"/>
      <c r="E77" s="304"/>
      <c r="F77" s="303"/>
      <c r="G77" s="304"/>
      <c r="H77" s="304"/>
      <c r="I77" s="304"/>
      <c r="J77" s="304"/>
      <c r="K77" s="305"/>
      <c r="L77" s="302"/>
      <c r="M77" s="302"/>
      <c r="N77" s="306"/>
    </row>
    <row r="78" spans="3:14" ht="12.75" hidden="1">
      <c r="C78" s="303"/>
      <c r="D78" s="304"/>
      <c r="E78" s="304"/>
      <c r="F78" s="303"/>
      <c r="G78" s="304"/>
      <c r="H78" s="304"/>
      <c r="I78" s="304"/>
      <c r="J78" s="304"/>
      <c r="K78" s="306"/>
      <c r="L78" s="306"/>
      <c r="M78" s="302"/>
      <c r="N78" s="302"/>
    </row>
    <row r="79" spans="3:14" ht="12.75" hidden="1">
      <c r="C79" s="303"/>
      <c r="D79" s="304"/>
      <c r="E79" s="304"/>
      <c r="F79" s="303"/>
      <c r="G79" s="304"/>
      <c r="H79" s="304"/>
      <c r="I79" s="304"/>
      <c r="J79" s="304"/>
      <c r="K79" s="305"/>
      <c r="L79" s="302"/>
      <c r="M79" s="302"/>
      <c r="N79" s="306"/>
    </row>
    <row r="80" spans="3:13" ht="12.75" hidden="1">
      <c r="C80" s="303"/>
      <c r="D80" s="304"/>
      <c r="E80" s="304"/>
      <c r="F80" s="303"/>
      <c r="G80" s="304"/>
      <c r="H80" s="304"/>
      <c r="I80" s="304"/>
      <c r="J80" s="304"/>
      <c r="K80" s="306"/>
      <c r="L80" s="306"/>
      <c r="M80" s="302"/>
    </row>
    <row r="81" spans="3:10" ht="21">
      <c r="C81" s="249" t="s">
        <v>179</v>
      </c>
      <c r="D81" s="307">
        <f>MAX(J61:J80)</f>
        <v>0</v>
      </c>
      <c r="E81" s="249" t="s">
        <v>180</v>
      </c>
      <c r="F81" s="308"/>
      <c r="G81" s="309"/>
      <c r="H81" s="308"/>
      <c r="I81" s="308"/>
      <c r="J81" s="310"/>
    </row>
    <row r="82" spans="3:10" ht="21">
      <c r="C82" s="311" t="s">
        <v>181</v>
      </c>
      <c r="D82" s="309">
        <f>IF(D81=J61,C61,IF(D81=J63,C63,IF(D81=J65,C65,IF(D81=J67,C67,IF(D81=J69,C69,IF(D81=J71,C71,IF(D81=J73,C73,IF(D81=J75,C75,"ingen"))))))))</f>
        <v>0</v>
      </c>
      <c r="E82" s="309"/>
      <c r="F82" s="308"/>
      <c r="G82" s="309"/>
      <c r="H82" s="308"/>
      <c r="I82" s="308"/>
      <c r="J82" s="310"/>
    </row>
    <row r="83" spans="3:10" ht="21">
      <c r="C83" s="311" t="s">
        <v>182</v>
      </c>
      <c r="D83" s="309">
        <f>IF(D81=J61,D61,IF(D81=J63,D63,IF(D81=J65,D65,IF(D81=J67,D67,IF(D81=J69,D69,IF(D81=J71,D71,IF(D81=J73,D73,IF(D81=J75,D75,"ingen"))))))))</f>
        <v>0</v>
      </c>
      <c r="E83" s="309"/>
      <c r="F83" s="308"/>
      <c r="G83" s="309"/>
      <c r="H83" s="308"/>
      <c r="I83" s="308"/>
      <c r="J83" s="310"/>
    </row>
    <row r="84" spans="6:10" ht="21">
      <c r="F84" s="308"/>
      <c r="G84" s="309"/>
      <c r="H84" s="308"/>
      <c r="I84" s="308"/>
      <c r="J84" s="310"/>
    </row>
    <row r="85" spans="3:14" ht="18">
      <c r="C85" s="335" t="s">
        <v>185</v>
      </c>
      <c r="D85" s="335"/>
      <c r="E85" s="335"/>
      <c r="F85" s="335"/>
      <c r="G85" s="335"/>
      <c r="H85" s="335"/>
      <c r="I85" s="336"/>
      <c r="J85" s="336"/>
      <c r="K85" s="336"/>
      <c r="L85" s="336"/>
      <c r="M85" s="336"/>
      <c r="N85" s="336"/>
    </row>
    <row r="86" spans="3:14" ht="21">
      <c r="C86" s="311" t="s">
        <v>186</v>
      </c>
      <c r="D86" s="337">
        <v>8000</v>
      </c>
      <c r="E86" s="309" t="s">
        <v>187</v>
      </c>
      <c r="F86" s="338"/>
      <c r="G86" s="338"/>
      <c r="H86" s="338"/>
      <c r="I86" s="336"/>
      <c r="J86" s="336"/>
      <c r="K86" s="336"/>
      <c r="L86" s="336"/>
      <c r="M86" s="336"/>
      <c r="N86" s="338"/>
    </row>
    <row r="87" spans="3:14" ht="54">
      <c r="C87" s="338" t="s">
        <v>188</v>
      </c>
      <c r="D87" s="338" t="s">
        <v>189</v>
      </c>
      <c r="E87" s="338" t="s">
        <v>190</v>
      </c>
      <c r="F87" s="339" t="s">
        <v>191</v>
      </c>
      <c r="G87" s="339" t="s">
        <v>192</v>
      </c>
      <c r="H87" s="338" t="s">
        <v>193</v>
      </c>
      <c r="I87" s="336"/>
      <c r="J87" s="336"/>
      <c r="K87" s="336"/>
      <c r="L87" s="336"/>
      <c r="M87" s="336"/>
      <c r="N87" s="338"/>
    </row>
    <row r="88" spans="3:13" ht="12.75" customHeight="1">
      <c r="C88" s="340" t="s">
        <v>194</v>
      </c>
      <c r="D88" s="341">
        <f>'opg 1.1 løsningstabel'!F2</f>
        <v>1300</v>
      </c>
      <c r="E88" s="340" t="str">
        <f>'opg 1.1 løsningstabel'!G2</f>
        <v>1 DK</v>
      </c>
      <c r="F88" s="340">
        <f>'opg 1.1 løsningstabel'!H2</f>
        <v>1000</v>
      </c>
      <c r="G88" s="340">
        <f>F88</f>
        <v>1000</v>
      </c>
      <c r="H88" s="340" t="str">
        <f>IF(G88&lt;=$D$86,"Ja","Nej")</f>
        <v>Ja</v>
      </c>
      <c r="I88" s="336"/>
      <c r="J88" s="336"/>
      <c r="K88" s="336"/>
      <c r="L88" s="336"/>
      <c r="M88" s="336"/>
    </row>
    <row r="89" spans="3:13" ht="12.75" customHeight="1">
      <c r="C89" s="340"/>
      <c r="D89" s="341"/>
      <c r="E89" s="340"/>
      <c r="F89" s="340"/>
      <c r="G89" s="340"/>
      <c r="H89" s="340"/>
      <c r="I89" s="336"/>
      <c r="J89" s="336"/>
      <c r="K89" s="336"/>
      <c r="L89" s="336"/>
      <c r="M89" s="336"/>
    </row>
    <row r="90" spans="3:13" ht="12.75" customHeight="1">
      <c r="C90" s="340" t="s">
        <v>195</v>
      </c>
      <c r="D90" s="341">
        <f>'opg 1.1 løsningstabel'!F3</f>
        <v>1100</v>
      </c>
      <c r="E90" s="340" t="str">
        <f>'opg 1.1 løsningstabel'!G3</f>
        <v>2 DK</v>
      </c>
      <c r="F90" s="340">
        <f>'opg 1.1 løsningstabel'!H3</f>
        <v>1000</v>
      </c>
      <c r="G90" s="340">
        <f>G88+F90</f>
        <v>2000</v>
      </c>
      <c r="H90" s="340" t="str">
        <f>IF(G90&lt;=$D$86,"Ja","Nej")</f>
        <v>Ja</v>
      </c>
      <c r="I90" s="336"/>
      <c r="J90" s="336"/>
      <c r="K90" s="336"/>
      <c r="L90" s="336"/>
      <c r="M90" s="336"/>
    </row>
    <row r="91" spans="3:13" ht="12.75" customHeight="1">
      <c r="C91" s="340"/>
      <c r="D91" s="341"/>
      <c r="E91" s="340"/>
      <c r="F91" s="340"/>
      <c r="G91" s="340"/>
      <c r="H91" s="340"/>
      <c r="I91" s="336"/>
      <c r="J91" s="336"/>
      <c r="K91" s="336"/>
      <c r="L91" s="336"/>
      <c r="M91" s="336"/>
    </row>
    <row r="92" spans="3:13" ht="12.75" customHeight="1">
      <c r="C92" s="340" t="s">
        <v>196</v>
      </c>
      <c r="D92" s="341">
        <f>'opg 1.1 løsningstabel'!F4</f>
        <v>950</v>
      </c>
      <c r="E92" s="340" t="str">
        <f>'opg 1.1 løsningstabel'!G4</f>
        <v>1 Tysk</v>
      </c>
      <c r="F92" s="340">
        <f>'opg 1.1 løsningstabel'!H4</f>
        <v>1000</v>
      </c>
      <c r="G92" s="340">
        <f>G90+F92</f>
        <v>3000</v>
      </c>
      <c r="H92" s="340" t="str">
        <f>IF(G92&lt;=$D$86,"Ja","Nej")</f>
        <v>Ja</v>
      </c>
      <c r="I92" s="336"/>
      <c r="J92" s="336"/>
      <c r="K92" s="336"/>
      <c r="L92" s="336"/>
      <c r="M92" s="336"/>
    </row>
    <row r="93" spans="3:13" ht="12.75" customHeight="1">
      <c r="C93" s="340"/>
      <c r="D93" s="341"/>
      <c r="E93" s="340"/>
      <c r="F93" s="340"/>
      <c r="G93" s="340"/>
      <c r="H93" s="340"/>
      <c r="I93" s="336"/>
      <c r="J93" s="336"/>
      <c r="K93" s="336"/>
      <c r="L93" s="336"/>
      <c r="M93" s="336"/>
    </row>
    <row r="94" spans="3:13" ht="12.75" customHeight="1">
      <c r="C94" s="340" t="s">
        <v>197</v>
      </c>
      <c r="D94" s="341">
        <f>'opg 1.1 løsningstabel'!F5</f>
        <v>900</v>
      </c>
      <c r="E94" s="340" t="str">
        <f>'opg 1.1 løsningstabel'!G5</f>
        <v>3 DK</v>
      </c>
      <c r="F94" s="340">
        <f>'opg 1.1 løsningstabel'!H5</f>
        <v>1000</v>
      </c>
      <c r="G94" s="340">
        <f>G92+F94</f>
        <v>4000</v>
      </c>
      <c r="H94" s="340" t="str">
        <f>IF(G94&lt;=$D$86,"Ja","Nej")</f>
        <v>Ja</v>
      </c>
      <c r="I94" s="336"/>
      <c r="J94" s="336"/>
      <c r="K94" s="336"/>
      <c r="L94" s="336"/>
      <c r="M94" s="336"/>
    </row>
    <row r="95" spans="3:13" ht="12.75" customHeight="1">
      <c r="C95" s="340"/>
      <c r="D95" s="341"/>
      <c r="E95" s="340"/>
      <c r="F95" s="340"/>
      <c r="G95" s="340"/>
      <c r="H95" s="340"/>
      <c r="I95" s="336"/>
      <c r="J95" s="336"/>
      <c r="K95" s="336"/>
      <c r="L95" s="336"/>
      <c r="M95" s="336"/>
    </row>
    <row r="96" spans="3:13" ht="12.75" customHeight="1">
      <c r="C96" s="340" t="s">
        <v>198</v>
      </c>
      <c r="D96" s="341">
        <f>'opg 1.1 løsningstabel'!F6</f>
        <v>850</v>
      </c>
      <c r="E96" s="340" t="str">
        <f>'opg 1.1 løsningstabel'!G6</f>
        <v>2 Tysk</v>
      </c>
      <c r="F96" s="340">
        <f>'opg 1.1 løsningstabel'!H6</f>
        <v>1000</v>
      </c>
      <c r="G96" s="340">
        <f>G94+F96</f>
        <v>5000</v>
      </c>
      <c r="H96" s="340" t="str">
        <f>IF(G96&lt;=$D$86,"Ja","Nej")</f>
        <v>Ja</v>
      </c>
      <c r="I96" s="336"/>
      <c r="J96" s="336"/>
      <c r="K96" s="336"/>
      <c r="L96" s="336"/>
      <c r="M96" s="336"/>
    </row>
    <row r="97" spans="3:13" ht="12.75" customHeight="1">
      <c r="C97" s="340"/>
      <c r="D97" s="341"/>
      <c r="E97" s="340"/>
      <c r="F97" s="340"/>
      <c r="G97" s="340"/>
      <c r="H97" s="340"/>
      <c r="I97" s="336"/>
      <c r="J97" s="336"/>
      <c r="K97" s="336"/>
      <c r="L97" s="336"/>
      <c r="M97" s="336"/>
    </row>
    <row r="98" spans="3:13" ht="12.75" customHeight="1">
      <c r="C98" s="340" t="s">
        <v>199</v>
      </c>
      <c r="D98" s="341">
        <f>'opg 1.1 løsningstabel'!F7</f>
        <v>750</v>
      </c>
      <c r="E98" s="340" t="str">
        <f>'opg 1.1 løsningstabel'!G7</f>
        <v>3 Tysk</v>
      </c>
      <c r="F98" s="340">
        <f>'opg 1.1 løsningstabel'!H7</f>
        <v>1000</v>
      </c>
      <c r="G98" s="340">
        <f>G96+F98</f>
        <v>6000</v>
      </c>
      <c r="H98" s="340" t="str">
        <f>IF(G98&lt;=$D$86,"Ja","Nej")</f>
        <v>Ja</v>
      </c>
      <c r="I98" s="336"/>
      <c r="J98" s="336"/>
      <c r="K98" s="336"/>
      <c r="L98" s="336"/>
      <c r="M98" s="336"/>
    </row>
    <row r="99" spans="3:13" ht="12.75" customHeight="1">
      <c r="C99" s="340"/>
      <c r="D99" s="341"/>
      <c r="E99" s="340"/>
      <c r="F99" s="340"/>
      <c r="G99" s="340"/>
      <c r="H99" s="340"/>
      <c r="I99" s="336"/>
      <c r="J99" s="336"/>
      <c r="K99" s="336"/>
      <c r="L99" s="336"/>
      <c r="M99" s="336"/>
    </row>
    <row r="100" spans="3:13" ht="12.75" customHeight="1">
      <c r="C100" s="340" t="s">
        <v>200</v>
      </c>
      <c r="D100" s="341">
        <f>'opg 1.1 løsningstabel'!F8</f>
        <v>700</v>
      </c>
      <c r="E100" s="340" t="str">
        <f>'opg 1.1 løsningstabel'!G8</f>
        <v>4 DK</v>
      </c>
      <c r="F100" s="340">
        <f>'opg 1.1 løsningstabel'!H8</f>
        <v>1000</v>
      </c>
      <c r="G100" s="340">
        <f>G98+F100</f>
        <v>7000</v>
      </c>
      <c r="H100" s="340" t="str">
        <f>IF(G100&lt;=$D$86,"Ja","Nej")</f>
        <v>Ja</v>
      </c>
      <c r="I100" s="336"/>
      <c r="J100" s="336"/>
      <c r="K100" s="336"/>
      <c r="L100" s="336"/>
      <c r="M100" s="336"/>
    </row>
    <row r="101" spans="3:13" ht="12.75" customHeight="1">
      <c r="C101" s="340"/>
      <c r="D101" s="341"/>
      <c r="E101" s="340"/>
      <c r="F101" s="340"/>
      <c r="G101" s="340"/>
      <c r="H101" s="340"/>
      <c r="I101" s="336"/>
      <c r="J101" s="336"/>
      <c r="K101" s="336"/>
      <c r="L101" s="336"/>
      <c r="M101" s="336"/>
    </row>
    <row r="102" spans="3:13" ht="12.75" customHeight="1">
      <c r="C102" s="340" t="s">
        <v>201</v>
      </c>
      <c r="D102" s="341">
        <f>'opg 1.1 løsningstabel'!F9</f>
        <v>650</v>
      </c>
      <c r="E102" s="340" t="str">
        <f>'opg 1.1 løsningstabel'!G9</f>
        <v>4 Tysk</v>
      </c>
      <c r="F102" s="340">
        <f>'opg 1.1 løsningstabel'!H9</f>
        <v>1000</v>
      </c>
      <c r="G102" s="340">
        <f>G100+F102</f>
        <v>8000</v>
      </c>
      <c r="H102" s="340" t="str">
        <f>IF(G102&lt;=$D$86,"Ja","Nej")</f>
        <v>Ja</v>
      </c>
      <c r="I102" s="336"/>
      <c r="J102" s="336"/>
      <c r="K102" s="336"/>
      <c r="L102" s="336"/>
      <c r="M102" s="336"/>
    </row>
    <row r="103" spans="3:13" ht="12.75" customHeight="1">
      <c r="C103" s="340"/>
      <c r="D103" s="341"/>
      <c r="E103" s="340"/>
      <c r="F103" s="340"/>
      <c r="G103" s="340"/>
      <c r="H103" s="340"/>
      <c r="I103" s="336"/>
      <c r="J103" s="336"/>
      <c r="K103" s="336"/>
      <c r="L103" s="336"/>
      <c r="M103" s="336"/>
    </row>
    <row r="104" spans="3:13" ht="12.75" customHeight="1">
      <c r="C104" s="340" t="s">
        <v>202</v>
      </c>
      <c r="D104" s="341">
        <f>'opg 1.1 løsningstabel'!F10</f>
        <v>550</v>
      </c>
      <c r="E104" s="340">
        <f>'opg 1.1 løsningstabel'!G10</f>
        <v>0</v>
      </c>
      <c r="F104" s="340" t="str">
        <f>'opg 1.1 løsningstabel'!H10</f>
        <v>-</v>
      </c>
      <c r="G104" s="340" t="e">
        <f>G102+F104</f>
        <v>#VALUE!</v>
      </c>
      <c r="H104" s="340" t="e">
        <f>IF(G104&lt;=$D$86,"Ja","Nej")</f>
        <v>#VALUE!</v>
      </c>
      <c r="I104" s="336"/>
      <c r="J104" s="336"/>
      <c r="K104" s="336"/>
      <c r="L104" s="336"/>
      <c r="M104" s="336"/>
    </row>
    <row r="105" spans="3:13" ht="12.75" customHeight="1">
      <c r="C105" s="340"/>
      <c r="D105" s="341"/>
      <c r="E105" s="340"/>
      <c r="F105" s="340"/>
      <c r="G105" s="340"/>
      <c r="H105" s="340"/>
      <c r="I105" s="336"/>
      <c r="J105" s="336"/>
      <c r="K105" s="336"/>
      <c r="L105" s="336"/>
      <c r="M105" s="336"/>
    </row>
    <row r="106" spans="3:13" ht="12.75" customHeight="1">
      <c r="C106" s="340" t="s">
        <v>203</v>
      </c>
      <c r="D106" s="341">
        <f>'opg 1.1 løsningstabel'!F11</f>
        <v>500</v>
      </c>
      <c r="E106" s="340">
        <f>'opg 1.1 løsningstabel'!G11</f>
        <v>0</v>
      </c>
      <c r="F106" s="340" t="str">
        <f>'opg 1.1 løsningstabel'!H11</f>
        <v>-</v>
      </c>
      <c r="G106" s="340" t="e">
        <f>G104+F106</f>
        <v>#VALUE!</v>
      </c>
      <c r="H106" s="340" t="e">
        <f>IF(G106&lt;=$D$86,"Ja","Nej")</f>
        <v>#VALUE!</v>
      </c>
      <c r="I106" s="336"/>
      <c r="J106" s="336"/>
      <c r="K106" s="336"/>
      <c r="L106" s="336"/>
      <c r="M106" s="336"/>
    </row>
    <row r="107" spans="3:13" ht="12.75" customHeight="1">
      <c r="C107" s="340"/>
      <c r="D107" s="341"/>
      <c r="E107" s="340"/>
      <c r="F107" s="340"/>
      <c r="G107" s="340"/>
      <c r="H107" s="340"/>
      <c r="I107" s="336"/>
      <c r="J107" s="336"/>
      <c r="K107" s="336"/>
      <c r="L107" s="336"/>
      <c r="M107" s="336"/>
    </row>
    <row r="108" spans="3:13" ht="12.75" customHeight="1">
      <c r="C108" s="340" t="s">
        <v>204</v>
      </c>
      <c r="D108" s="341">
        <f>'opg 1.1 løsningstabel'!F12</f>
        <v>450</v>
      </c>
      <c r="E108" s="340" t="str">
        <f>'opg 1.1 løsningstabel'!G12</f>
        <v>-</v>
      </c>
      <c r="F108" s="340" t="str">
        <f>'opg 1.1 løsningstabel'!H12</f>
        <v>-</v>
      </c>
      <c r="G108" s="340" t="e">
        <f>G106+F108</f>
        <v>#VALUE!</v>
      </c>
      <c r="H108" s="340" t="e">
        <f>IF(G108&lt;=$D$86,"Ja","Nej")</f>
        <v>#VALUE!</v>
      </c>
      <c r="I108" s="336"/>
      <c r="J108" s="336"/>
      <c r="K108" s="336"/>
      <c r="L108" s="336"/>
      <c r="M108" s="336"/>
    </row>
    <row r="109" spans="3:13" ht="12.75" customHeight="1">
      <c r="C109" s="340"/>
      <c r="D109" s="341"/>
      <c r="E109" s="340"/>
      <c r="F109" s="340"/>
      <c r="G109" s="340"/>
      <c r="H109" s="340"/>
      <c r="I109" s="336"/>
      <c r="J109" s="336"/>
      <c r="K109" s="336"/>
      <c r="L109" s="336"/>
      <c r="M109" s="336"/>
    </row>
    <row r="110" spans="3:13" ht="12.75" customHeight="1">
      <c r="C110" s="340" t="s">
        <v>205</v>
      </c>
      <c r="D110" s="341">
        <f>'opg 1.1 løsningstabel'!F13</f>
        <v>350</v>
      </c>
      <c r="E110" s="340" t="str">
        <f>'opg 1.1 løsningstabel'!G13</f>
        <v>-</v>
      </c>
      <c r="F110" s="340" t="str">
        <f>'opg 1.1 løsningstabel'!H13</f>
        <v>-</v>
      </c>
      <c r="G110" s="340" t="e">
        <f>G108+F110</f>
        <v>#VALUE!</v>
      </c>
      <c r="H110" s="340" t="e">
        <f>IF(G110&lt;=$D$86,"Ja","Nej")</f>
        <v>#VALUE!</v>
      </c>
      <c r="I110" s="336"/>
      <c r="J110" s="336"/>
      <c r="K110" s="336"/>
      <c r="L110" s="336"/>
      <c r="M110" s="336"/>
    </row>
    <row r="111" spans="3:13" ht="12.75" customHeight="1">
      <c r="C111" s="340"/>
      <c r="D111" s="341"/>
      <c r="E111" s="340"/>
      <c r="F111" s="340"/>
      <c r="G111" s="340"/>
      <c r="H111" s="340"/>
      <c r="I111" s="336"/>
      <c r="J111" s="336"/>
      <c r="K111" s="336"/>
      <c r="L111" s="336"/>
      <c r="M111" s="336"/>
    </row>
    <row r="112" spans="3:13" ht="12.75" customHeight="1">
      <c r="C112" s="342"/>
      <c r="D112" s="343"/>
      <c r="E112" s="342"/>
      <c r="F112" s="342"/>
      <c r="G112" s="342"/>
      <c r="H112" s="342"/>
      <c r="I112" s="336"/>
      <c r="J112" s="336"/>
      <c r="K112" s="336"/>
      <c r="L112" s="336"/>
      <c r="M112" s="336"/>
    </row>
    <row r="113" spans="1:13" ht="18">
      <c r="A113" s="335" t="s">
        <v>206</v>
      </c>
      <c r="B113" s="335"/>
      <c r="C113" s="335"/>
      <c r="D113" s="335"/>
      <c r="E113" s="335"/>
      <c r="F113" s="335"/>
      <c r="G113" s="335"/>
      <c r="H113" s="335"/>
      <c r="I113" s="336"/>
      <c r="J113" s="336"/>
      <c r="K113" s="336"/>
      <c r="L113" s="336"/>
      <c r="M113" s="336"/>
    </row>
    <row r="114" spans="1:13" ht="12.75" customHeight="1">
      <c r="A114" s="340" t="s">
        <v>207</v>
      </c>
      <c r="B114" s="340"/>
      <c r="C114" s="342" t="s">
        <v>167</v>
      </c>
      <c r="D114" s="342" t="s">
        <v>168</v>
      </c>
      <c r="E114" s="342" t="s">
        <v>28</v>
      </c>
      <c r="F114" s="342" t="s">
        <v>169</v>
      </c>
      <c r="G114" s="342" t="s">
        <v>170</v>
      </c>
      <c r="H114" s="342" t="s">
        <v>171</v>
      </c>
      <c r="I114" s="344" t="s">
        <v>208</v>
      </c>
      <c r="J114" s="344" t="s">
        <v>173</v>
      </c>
      <c r="K114" s="336"/>
      <c r="L114" s="336"/>
      <c r="M114" s="336"/>
    </row>
    <row r="115" spans="1:13" ht="12.75" customHeight="1">
      <c r="A115" s="340" t="str">
        <f>D2</f>
        <v>DK</v>
      </c>
      <c r="B115" s="340"/>
      <c r="C115" s="87">
        <f>C11</f>
        <v>1800</v>
      </c>
      <c r="D115" s="87">
        <f aca="true" t="shared" si="0" ref="D115:J115">D11</f>
        <v>4000</v>
      </c>
      <c r="E115" s="87">
        <f t="shared" si="0"/>
        <v>7200000</v>
      </c>
      <c r="F115" s="87">
        <f t="shared" si="0"/>
        <v>800</v>
      </c>
      <c r="G115" s="87">
        <f t="shared" si="0"/>
        <v>3200000</v>
      </c>
      <c r="H115" s="87">
        <f t="shared" si="0"/>
        <v>4000000</v>
      </c>
      <c r="I115" s="87">
        <f t="shared" si="0"/>
        <v>0</v>
      </c>
      <c r="J115" s="87">
        <f t="shared" si="0"/>
        <v>4000000</v>
      </c>
      <c r="K115" s="336"/>
      <c r="L115" s="336"/>
      <c r="M115" s="336"/>
    </row>
    <row r="116" spans="1:13" ht="12.75" customHeight="1">
      <c r="A116" s="340" t="str">
        <f>D30</f>
        <v>Tysk</v>
      </c>
      <c r="B116" s="340"/>
      <c r="C116" s="87">
        <f>C39</f>
        <v>2000</v>
      </c>
      <c r="D116" s="87">
        <f aca="true" t="shared" si="1" ref="D116:J116">D39</f>
        <v>4000</v>
      </c>
      <c r="E116" s="87">
        <f t="shared" si="1"/>
        <v>8000000</v>
      </c>
      <c r="F116" s="87">
        <f t="shared" si="1"/>
        <v>1200</v>
      </c>
      <c r="G116" s="87">
        <f t="shared" si="1"/>
        <v>4800000</v>
      </c>
      <c r="H116" s="87">
        <f t="shared" si="1"/>
        <v>3200000</v>
      </c>
      <c r="I116" s="87">
        <f t="shared" si="1"/>
        <v>0</v>
      </c>
      <c r="J116" s="87">
        <f t="shared" si="1"/>
        <v>3200000</v>
      </c>
      <c r="K116" s="336"/>
      <c r="L116" s="336"/>
      <c r="M116" s="336"/>
    </row>
    <row r="117" spans="1:13" ht="12.75" customHeight="1">
      <c r="A117" s="345" t="s">
        <v>209</v>
      </c>
      <c r="B117" s="345"/>
      <c r="C117" s="345"/>
      <c r="D117" s="346"/>
      <c r="E117" s="346"/>
      <c r="F117" s="346"/>
      <c r="G117" s="346"/>
      <c r="H117" s="346"/>
      <c r="I117" s="346"/>
      <c r="J117" s="346">
        <v>4800000</v>
      </c>
      <c r="K117" s="336"/>
      <c r="L117" s="336"/>
      <c r="M117" s="336"/>
    </row>
    <row r="118" spans="1:13" ht="12.75" customHeight="1">
      <c r="A118" s="249" t="s">
        <v>210</v>
      </c>
      <c r="C118" s="347"/>
      <c r="D118" s="347"/>
      <c r="E118" s="347"/>
      <c r="F118" s="347"/>
      <c r="G118" s="347">
        <f>SUM(G115:G117)</f>
        <v>8000000</v>
      </c>
      <c r="H118" s="347">
        <f>SUM(H115:H117)</f>
        <v>7200000</v>
      </c>
      <c r="I118" s="347">
        <v>4800000</v>
      </c>
      <c r="J118" s="347">
        <f>J115+J116-J117</f>
        <v>2400000</v>
      </c>
      <c r="K118" s="336"/>
      <c r="L118" s="336"/>
      <c r="M118" s="336"/>
    </row>
    <row r="119" spans="3:13" ht="12.75" customHeight="1">
      <c r="C119" s="342"/>
      <c r="D119" s="342"/>
      <c r="E119" s="342"/>
      <c r="F119" s="342"/>
      <c r="G119" s="342"/>
      <c r="H119" s="342"/>
      <c r="I119" s="348"/>
      <c r="J119" s="336"/>
      <c r="K119" s="336"/>
      <c r="L119" s="336"/>
      <c r="M119" s="336"/>
    </row>
    <row r="120" spans="3:13" ht="12.75" customHeight="1">
      <c r="C120" s="342"/>
      <c r="D120" s="342"/>
      <c r="E120" s="342"/>
      <c r="F120" s="342"/>
      <c r="G120" s="342"/>
      <c r="H120" s="342"/>
      <c r="I120" s="336"/>
      <c r="J120" s="336"/>
      <c r="K120" s="336"/>
      <c r="L120" s="336"/>
      <c r="M120" s="336"/>
    </row>
    <row r="121" spans="3:13" ht="12.75" customHeight="1">
      <c r="C121" s="342"/>
      <c r="D121" s="342"/>
      <c r="E121" s="342"/>
      <c r="F121" s="342"/>
      <c r="G121" s="342"/>
      <c r="H121" s="342"/>
      <c r="I121" s="336"/>
      <c r="J121" s="336"/>
      <c r="K121" s="336"/>
      <c r="L121" s="336"/>
      <c r="M121" s="336"/>
    </row>
    <row r="122" spans="3:13" ht="12.75" customHeight="1">
      <c r="C122" s="342"/>
      <c r="D122" s="342"/>
      <c r="E122" s="342"/>
      <c r="F122" s="342"/>
      <c r="G122" s="342"/>
      <c r="H122" s="342"/>
      <c r="I122" s="336"/>
      <c r="J122" s="336"/>
      <c r="K122" s="336"/>
      <c r="L122" s="336"/>
      <c r="M122" s="336"/>
    </row>
    <row r="123" spans="3:13" ht="12.75" customHeight="1">
      <c r="C123" s="342"/>
      <c r="D123" s="342"/>
      <c r="E123" s="342"/>
      <c r="F123" s="342"/>
      <c r="G123" s="342"/>
      <c r="H123" s="342"/>
      <c r="I123" s="336"/>
      <c r="J123" s="336"/>
      <c r="K123" s="336"/>
      <c r="L123" s="336"/>
      <c r="M123" s="336"/>
    </row>
    <row r="124" spans="3:13" ht="12.75" customHeight="1">
      <c r="C124" s="342"/>
      <c r="D124" s="342"/>
      <c r="E124" s="342"/>
      <c r="F124" s="342"/>
      <c r="G124" s="342"/>
      <c r="H124" s="342"/>
      <c r="I124" s="336"/>
      <c r="J124" s="336"/>
      <c r="K124" s="336"/>
      <c r="L124" s="336"/>
      <c r="M124" s="336"/>
    </row>
    <row r="125" spans="3:13" ht="12.75" customHeight="1">
      <c r="C125" s="342"/>
      <c r="D125" s="342"/>
      <c r="E125" s="342"/>
      <c r="F125" s="342"/>
      <c r="G125" s="342"/>
      <c r="H125" s="342"/>
      <c r="I125" s="336"/>
      <c r="J125" s="336"/>
      <c r="K125" s="336"/>
      <c r="L125" s="336"/>
      <c r="M125" s="336"/>
    </row>
    <row r="126" spans="3:13" ht="12.75" customHeight="1">
      <c r="C126" s="342"/>
      <c r="D126" s="343"/>
      <c r="E126" s="342"/>
      <c r="F126" s="342"/>
      <c r="G126" s="342"/>
      <c r="H126" s="342"/>
      <c r="I126" s="336"/>
      <c r="J126" s="336"/>
      <c r="K126" s="336"/>
      <c r="L126" s="336"/>
      <c r="M126" s="336"/>
    </row>
    <row r="127" spans="3:13" ht="12.75" customHeight="1">
      <c r="C127" s="342"/>
      <c r="I127" s="336"/>
      <c r="J127" s="336"/>
      <c r="K127" s="336"/>
      <c r="L127" s="336"/>
      <c r="M127" s="336"/>
    </row>
    <row r="128" spans="3:13" ht="12.75" customHeight="1">
      <c r="C128" s="342"/>
      <c r="I128" s="336"/>
      <c r="J128" s="336"/>
      <c r="K128" s="336"/>
      <c r="L128" s="336"/>
      <c r="M128" s="336"/>
    </row>
    <row r="129" spans="3:13" ht="12.75" customHeight="1">
      <c r="C129" s="342"/>
      <c r="I129" s="336"/>
      <c r="J129" s="336"/>
      <c r="K129" s="336"/>
      <c r="L129" s="336"/>
      <c r="M129" s="336"/>
    </row>
    <row r="130" spans="3:13" ht="12.75" customHeight="1">
      <c r="C130" s="342"/>
      <c r="I130" s="336"/>
      <c r="J130" s="336"/>
      <c r="K130" s="336"/>
      <c r="L130" s="336"/>
      <c r="M130" s="336"/>
    </row>
    <row r="131" spans="3:13" ht="12.75" customHeight="1">
      <c r="C131" s="342"/>
      <c r="I131" s="336"/>
      <c r="J131" s="336"/>
      <c r="K131" s="336"/>
      <c r="L131" s="336"/>
      <c r="M131" s="336"/>
    </row>
    <row r="132" spans="3:13" ht="12.75" customHeight="1">
      <c r="C132" s="342"/>
      <c r="I132" s="336"/>
      <c r="J132" s="336"/>
      <c r="K132" s="336"/>
      <c r="L132" s="336"/>
      <c r="M132" s="336"/>
    </row>
    <row r="133" spans="3:13" ht="12.75" customHeight="1">
      <c r="C133" s="342"/>
      <c r="I133" s="336"/>
      <c r="J133" s="336"/>
      <c r="K133" s="336"/>
      <c r="L133" s="336"/>
      <c r="M133" s="336"/>
    </row>
    <row r="134" spans="3:13" ht="12.75" customHeight="1">
      <c r="C134" s="342"/>
      <c r="I134" s="336"/>
      <c r="J134" s="336"/>
      <c r="K134" s="336"/>
      <c r="L134" s="336"/>
      <c r="M134" s="336"/>
    </row>
    <row r="135" spans="3:13" ht="12.75" customHeight="1">
      <c r="C135" s="342"/>
      <c r="I135" s="336"/>
      <c r="J135" s="336"/>
      <c r="K135" s="336"/>
      <c r="L135" s="336"/>
      <c r="M135" s="336"/>
    </row>
    <row r="136" spans="3:13" ht="12.75" customHeight="1">
      <c r="C136" s="342"/>
      <c r="I136" s="336"/>
      <c r="J136" s="336"/>
      <c r="K136" s="336"/>
      <c r="L136" s="336"/>
      <c r="M136" s="336"/>
    </row>
    <row r="137" spans="9:13" ht="12.75" customHeight="1">
      <c r="I137" s="336"/>
      <c r="J137" s="336"/>
      <c r="K137" s="336"/>
      <c r="L137" s="336"/>
      <c r="M137" s="336"/>
    </row>
    <row r="138" spans="9:13" ht="12.75" customHeight="1">
      <c r="I138" s="336"/>
      <c r="J138" s="336"/>
      <c r="K138" s="336"/>
      <c r="L138" s="336"/>
      <c r="M138" s="336"/>
    </row>
    <row r="139" spans="9:13" ht="12.75" customHeight="1">
      <c r="I139" s="336"/>
      <c r="J139" s="336"/>
      <c r="K139" s="336"/>
      <c r="L139" s="336"/>
      <c r="M139" s="336"/>
    </row>
    <row r="140" spans="9:13" ht="12.75" customHeight="1">
      <c r="I140" s="336"/>
      <c r="J140" s="336"/>
      <c r="K140" s="336"/>
      <c r="L140" s="336"/>
      <c r="M140" s="336"/>
    </row>
    <row r="141" spans="9:13" ht="12.75" customHeight="1">
      <c r="I141" s="336"/>
      <c r="J141" s="336"/>
      <c r="K141" s="336"/>
      <c r="L141" s="336"/>
      <c r="M141" s="336"/>
    </row>
    <row r="142" spans="9:13" ht="12.75" customHeight="1">
      <c r="I142" s="336"/>
      <c r="J142" s="336"/>
      <c r="K142" s="336"/>
      <c r="L142" s="336"/>
      <c r="M142" s="336"/>
    </row>
    <row r="143" spans="9:13" ht="12.75" customHeight="1">
      <c r="I143" s="336"/>
      <c r="J143" s="336"/>
      <c r="K143" s="336"/>
      <c r="L143" s="336"/>
      <c r="M143" s="336"/>
    </row>
    <row r="144" spans="9:13" ht="12.75" customHeight="1">
      <c r="I144" s="336"/>
      <c r="J144" s="336"/>
      <c r="K144" s="336"/>
      <c r="L144" s="336"/>
      <c r="M144" s="336"/>
    </row>
    <row r="145" spans="9:13" ht="12.75" customHeight="1">
      <c r="I145" s="336"/>
      <c r="J145" s="336"/>
      <c r="K145" s="336"/>
      <c r="L145" s="336"/>
      <c r="M145" s="336"/>
    </row>
    <row r="146" spans="9:13" ht="12.75" customHeight="1">
      <c r="I146" s="336"/>
      <c r="J146" s="336"/>
      <c r="K146" s="336"/>
      <c r="L146" s="336"/>
      <c r="M146" s="336"/>
    </row>
    <row r="147" spans="9:13" ht="12.75" customHeight="1">
      <c r="I147" s="336"/>
      <c r="J147" s="336"/>
      <c r="K147" s="336"/>
      <c r="L147" s="336"/>
      <c r="M147" s="336"/>
    </row>
    <row r="148" spans="9:13" ht="12.75" customHeight="1">
      <c r="I148" s="336"/>
      <c r="J148" s="336"/>
      <c r="K148" s="336"/>
      <c r="L148" s="336"/>
      <c r="M148" s="336"/>
    </row>
    <row r="149" spans="9:13" ht="12.75" customHeight="1">
      <c r="I149" s="336"/>
      <c r="J149" s="336"/>
      <c r="K149" s="336"/>
      <c r="L149" s="336"/>
      <c r="M149" s="336"/>
    </row>
    <row r="150" spans="9:13" ht="12.75" customHeight="1">
      <c r="I150" s="336"/>
      <c r="J150" s="336"/>
      <c r="K150" s="336"/>
      <c r="L150" s="336"/>
      <c r="M150" s="336"/>
    </row>
    <row r="151" spans="9:13" ht="12.75" customHeight="1">
      <c r="I151" s="336"/>
      <c r="J151" s="336"/>
      <c r="K151" s="336"/>
      <c r="L151" s="336"/>
      <c r="M151" s="336"/>
    </row>
    <row r="152" spans="9:13" ht="12.75" customHeight="1">
      <c r="I152" s="336"/>
      <c r="J152" s="336"/>
      <c r="K152" s="336"/>
      <c r="L152" s="336"/>
      <c r="M152" s="336"/>
    </row>
    <row r="153" spans="9:13" ht="12.75" customHeight="1">
      <c r="I153" s="336"/>
      <c r="J153" s="336"/>
      <c r="K153" s="336"/>
      <c r="L153" s="336"/>
      <c r="M153" s="336"/>
    </row>
    <row r="154" spans="9:13" ht="12.75" customHeight="1">
      <c r="I154" s="336"/>
      <c r="J154" s="336"/>
      <c r="K154" s="336"/>
      <c r="L154" s="336"/>
      <c r="M154" s="336"/>
    </row>
    <row r="155" spans="9:13" ht="12.75" customHeight="1">
      <c r="I155" s="336"/>
      <c r="J155" s="336"/>
      <c r="K155" s="336"/>
      <c r="L155" s="336"/>
      <c r="M155" s="336"/>
    </row>
    <row r="156" spans="9:13" ht="12.75" customHeight="1">
      <c r="I156" s="336"/>
      <c r="J156" s="336"/>
      <c r="K156" s="336"/>
      <c r="L156" s="336"/>
      <c r="M156" s="336"/>
    </row>
    <row r="157" spans="9:13" ht="12.75" customHeight="1">
      <c r="I157" s="336"/>
      <c r="J157" s="336"/>
      <c r="K157" s="336"/>
      <c r="L157" s="336"/>
      <c r="M157" s="336"/>
    </row>
    <row r="158" spans="9:13" ht="12.75" customHeight="1">
      <c r="I158" s="336"/>
      <c r="J158" s="336"/>
      <c r="K158" s="336"/>
      <c r="L158" s="336"/>
      <c r="M158" s="336"/>
    </row>
    <row r="159" spans="9:13" ht="12.75" customHeight="1">
      <c r="I159" s="336"/>
      <c r="J159" s="336"/>
      <c r="K159" s="336"/>
      <c r="L159" s="336"/>
      <c r="M159" s="336"/>
    </row>
    <row r="160" spans="9:13" ht="12.75" customHeight="1">
      <c r="I160" s="336"/>
      <c r="J160" s="336"/>
      <c r="K160" s="336"/>
      <c r="L160" s="336"/>
      <c r="M160" s="336"/>
    </row>
    <row r="161" spans="9:13" ht="12.75" customHeight="1">
      <c r="I161" s="336"/>
      <c r="J161" s="336"/>
      <c r="K161" s="336"/>
      <c r="L161" s="336"/>
      <c r="M161" s="336"/>
    </row>
    <row r="162" spans="9:13" ht="12.75" customHeight="1">
      <c r="I162" s="336"/>
      <c r="J162" s="336"/>
      <c r="K162" s="336"/>
      <c r="L162" s="336"/>
      <c r="M162" s="336"/>
    </row>
    <row r="163" spans="9:13" ht="12.75" customHeight="1">
      <c r="I163" s="336"/>
      <c r="J163" s="336"/>
      <c r="K163" s="336"/>
      <c r="L163" s="336"/>
      <c r="M163" s="336"/>
    </row>
    <row r="164" spans="9:13" ht="12.75" customHeight="1">
      <c r="I164" s="336"/>
      <c r="J164" s="336"/>
      <c r="K164" s="336"/>
      <c r="L164" s="336"/>
      <c r="M164" s="336"/>
    </row>
    <row r="165" spans="9:13" ht="12.75" customHeight="1">
      <c r="I165" s="336"/>
      <c r="J165" s="336"/>
      <c r="K165" s="336"/>
      <c r="L165" s="336"/>
      <c r="M165" s="336"/>
    </row>
    <row r="166" spans="9:13" ht="12.75" customHeight="1">
      <c r="I166" s="336"/>
      <c r="J166" s="336"/>
      <c r="K166" s="336"/>
      <c r="L166" s="336"/>
      <c r="M166" s="336"/>
    </row>
    <row r="167" spans="9:13" ht="12.75" customHeight="1">
      <c r="I167" s="336"/>
      <c r="J167" s="336"/>
      <c r="K167" s="336"/>
      <c r="L167" s="336"/>
      <c r="M167" s="336"/>
    </row>
    <row r="168" spans="9:13" ht="12.75" customHeight="1">
      <c r="I168" s="336"/>
      <c r="J168" s="336"/>
      <c r="K168" s="336"/>
      <c r="L168" s="336"/>
      <c r="M168" s="336"/>
    </row>
    <row r="169" spans="9:13" ht="12.75" customHeight="1">
      <c r="I169" s="336"/>
      <c r="J169" s="336"/>
      <c r="K169" s="336"/>
      <c r="L169" s="336"/>
      <c r="M169" s="336"/>
    </row>
    <row r="170" spans="9:13" ht="12.75" customHeight="1">
      <c r="I170" s="336"/>
      <c r="J170" s="336"/>
      <c r="K170" s="336"/>
      <c r="L170" s="336"/>
      <c r="M170" s="336"/>
    </row>
    <row r="171" spans="9:13" ht="12.75" customHeight="1">
      <c r="I171" s="336"/>
      <c r="J171" s="336"/>
      <c r="K171" s="336"/>
      <c r="L171" s="336"/>
      <c r="M171" s="336"/>
    </row>
    <row r="172" spans="9:13" ht="12.75" customHeight="1">
      <c r="I172" s="336"/>
      <c r="J172" s="336"/>
      <c r="K172" s="336"/>
      <c r="L172" s="336"/>
      <c r="M172" s="336"/>
    </row>
    <row r="173" spans="9:13" ht="12.75" customHeight="1">
      <c r="I173" s="336"/>
      <c r="J173" s="336"/>
      <c r="K173" s="336"/>
      <c r="L173" s="336"/>
      <c r="M173" s="336"/>
    </row>
    <row r="174" spans="9:13" ht="12.75" customHeight="1">
      <c r="I174" s="336"/>
      <c r="J174" s="336"/>
      <c r="K174" s="336"/>
      <c r="L174" s="336"/>
      <c r="M174" s="336"/>
    </row>
    <row r="175" spans="9:13" ht="12.75" customHeight="1">
      <c r="I175" s="336"/>
      <c r="J175" s="336"/>
      <c r="K175" s="336"/>
      <c r="L175" s="336"/>
      <c r="M175" s="336"/>
    </row>
    <row r="176" spans="9:13" ht="12.75" customHeight="1">
      <c r="I176" s="336"/>
      <c r="J176" s="336"/>
      <c r="K176" s="336"/>
      <c r="L176" s="336"/>
      <c r="M176" s="336"/>
    </row>
    <row r="177" spans="9:13" ht="12.75" customHeight="1">
      <c r="I177" s="336"/>
      <c r="J177" s="336"/>
      <c r="K177" s="336"/>
      <c r="L177" s="336"/>
      <c r="M177" s="336"/>
    </row>
    <row r="178" spans="9:13" ht="12.75" customHeight="1">
      <c r="I178" s="336"/>
      <c r="J178" s="336"/>
      <c r="K178" s="336"/>
      <c r="L178" s="336"/>
      <c r="M178" s="336"/>
    </row>
    <row r="179" spans="9:13" ht="12.75" customHeight="1">
      <c r="I179" s="336"/>
      <c r="J179" s="336"/>
      <c r="K179" s="336"/>
      <c r="L179" s="336"/>
      <c r="M179" s="336"/>
    </row>
    <row r="180" spans="9:13" ht="12.75" customHeight="1">
      <c r="I180" s="336"/>
      <c r="J180" s="336"/>
      <c r="K180" s="336"/>
      <c r="L180" s="336"/>
      <c r="M180" s="336"/>
    </row>
    <row r="181" spans="9:13" ht="12.75" customHeight="1">
      <c r="I181" s="336"/>
      <c r="J181" s="336"/>
      <c r="K181" s="336"/>
      <c r="L181" s="336"/>
      <c r="M181" s="336"/>
    </row>
    <row r="182" spans="9:13" ht="12.75" customHeight="1">
      <c r="I182" s="336"/>
      <c r="J182" s="336"/>
      <c r="K182" s="336"/>
      <c r="L182" s="336"/>
      <c r="M182" s="336"/>
    </row>
    <row r="183" spans="9:13" ht="12.75" customHeight="1">
      <c r="I183" s="336"/>
      <c r="J183" s="336"/>
      <c r="K183" s="336"/>
      <c r="L183" s="336"/>
      <c r="M183" s="336"/>
    </row>
    <row r="184" spans="9:13" ht="12.75" customHeight="1">
      <c r="I184" s="336"/>
      <c r="J184" s="336"/>
      <c r="K184" s="336"/>
      <c r="L184" s="336"/>
      <c r="M184" s="336"/>
    </row>
    <row r="185" spans="9:13" ht="12.75" customHeight="1">
      <c r="I185" s="336"/>
      <c r="J185" s="336"/>
      <c r="K185" s="336"/>
      <c r="L185" s="336"/>
      <c r="M185" s="336"/>
    </row>
    <row r="186" spans="9:13" ht="12.75" customHeight="1">
      <c r="I186" s="336"/>
      <c r="J186" s="336"/>
      <c r="K186" s="336"/>
      <c r="L186" s="336"/>
      <c r="M186" s="336"/>
    </row>
    <row r="187" spans="9:13" ht="12.75" customHeight="1">
      <c r="I187" s="336"/>
      <c r="J187" s="336"/>
      <c r="K187" s="336"/>
      <c r="L187" s="336"/>
      <c r="M187" s="336"/>
    </row>
    <row r="188" spans="9:13" ht="12.75" customHeight="1">
      <c r="I188" s="336"/>
      <c r="J188" s="336"/>
      <c r="K188" s="336"/>
      <c r="L188" s="336"/>
      <c r="M188" s="336"/>
    </row>
    <row r="189" spans="9:13" ht="12.75" customHeight="1">
      <c r="I189" s="336"/>
      <c r="J189" s="336"/>
      <c r="K189" s="336"/>
      <c r="L189" s="336"/>
      <c r="M189" s="336"/>
    </row>
    <row r="190" spans="9:13" ht="12.75" customHeight="1">
      <c r="I190" s="336"/>
      <c r="J190" s="336"/>
      <c r="K190" s="336"/>
      <c r="L190" s="336"/>
      <c r="M190" s="336"/>
    </row>
    <row r="191" spans="9:13" ht="12.75" customHeight="1">
      <c r="I191" s="336"/>
      <c r="J191" s="336"/>
      <c r="K191" s="336"/>
      <c r="L191" s="336"/>
      <c r="M191" s="336"/>
    </row>
    <row r="192" spans="9:13" ht="12.75" customHeight="1">
      <c r="I192" s="336"/>
      <c r="J192" s="336"/>
      <c r="K192" s="336"/>
      <c r="L192" s="336"/>
      <c r="M192" s="336"/>
    </row>
    <row r="193" spans="9:13" ht="12.75" customHeight="1">
      <c r="I193" s="336"/>
      <c r="J193" s="336"/>
      <c r="K193" s="336"/>
      <c r="L193" s="336"/>
      <c r="M193" s="336"/>
    </row>
    <row r="194" spans="9:13" ht="12.75" customHeight="1">
      <c r="I194" s="336"/>
      <c r="J194" s="336"/>
      <c r="K194" s="336"/>
      <c r="L194" s="336"/>
      <c r="M194" s="336"/>
    </row>
    <row r="195" spans="9:13" ht="12.75" customHeight="1">
      <c r="I195" s="336"/>
      <c r="J195" s="336"/>
      <c r="K195" s="336"/>
      <c r="L195" s="336"/>
      <c r="M195" s="336"/>
    </row>
    <row r="196" spans="9:13" ht="12.75" customHeight="1">
      <c r="I196" s="336"/>
      <c r="J196" s="336"/>
      <c r="K196" s="336"/>
      <c r="L196" s="336"/>
      <c r="M196" s="336"/>
    </row>
    <row r="197" spans="9:13" ht="12.75" customHeight="1">
      <c r="I197" s="336"/>
      <c r="J197" s="336"/>
      <c r="K197" s="336"/>
      <c r="L197" s="336"/>
      <c r="M197" s="336"/>
    </row>
    <row r="198" spans="9:13" ht="12.75" customHeight="1">
      <c r="I198" s="336"/>
      <c r="J198" s="336"/>
      <c r="K198" s="336"/>
      <c r="L198" s="336"/>
      <c r="M198" s="336"/>
    </row>
    <row r="199" spans="9:13" ht="12.75" customHeight="1">
      <c r="I199" s="336"/>
      <c r="J199" s="336"/>
      <c r="K199" s="336"/>
      <c r="L199" s="336"/>
      <c r="M199" s="336"/>
    </row>
    <row r="200" spans="9:13" ht="12.75" customHeight="1">
      <c r="I200" s="336"/>
      <c r="J200" s="336"/>
      <c r="K200" s="336"/>
      <c r="L200" s="336"/>
      <c r="M200" s="336"/>
    </row>
    <row r="201" spans="9:13" ht="12.75" customHeight="1">
      <c r="I201" s="336"/>
      <c r="J201" s="336"/>
      <c r="K201" s="336"/>
      <c r="L201" s="336"/>
      <c r="M201" s="336"/>
    </row>
    <row r="202" spans="9:13" ht="12.75" customHeight="1">
      <c r="I202" s="336"/>
      <c r="J202" s="336"/>
      <c r="K202" s="336"/>
      <c r="L202" s="336"/>
      <c r="M202" s="336"/>
    </row>
    <row r="203" spans="9:13" ht="12.75" customHeight="1">
      <c r="I203" s="336"/>
      <c r="J203" s="336"/>
      <c r="K203" s="336"/>
      <c r="L203" s="336"/>
      <c r="M203" s="336"/>
    </row>
    <row r="204" spans="9:13" ht="12.75" customHeight="1">
      <c r="I204" s="336"/>
      <c r="J204" s="336"/>
      <c r="K204" s="336"/>
      <c r="L204" s="336"/>
      <c r="M204" s="336"/>
    </row>
    <row r="205" spans="9:13" ht="12.75" customHeight="1">
      <c r="I205" s="336"/>
      <c r="J205" s="336"/>
      <c r="K205" s="336"/>
      <c r="L205" s="336"/>
      <c r="M205" s="336"/>
    </row>
    <row r="206" spans="9:13" ht="12.75" customHeight="1">
      <c r="I206" s="336"/>
      <c r="J206" s="336"/>
      <c r="K206" s="336"/>
      <c r="L206" s="336"/>
      <c r="M206" s="336"/>
    </row>
    <row r="207" spans="9:13" ht="12.75" customHeight="1">
      <c r="I207" s="336"/>
      <c r="J207" s="336"/>
      <c r="K207" s="336"/>
      <c r="L207" s="336"/>
      <c r="M207" s="336"/>
    </row>
    <row r="208" spans="9:13" ht="12.75" customHeight="1">
      <c r="I208" s="336"/>
      <c r="J208" s="336"/>
      <c r="K208" s="336"/>
      <c r="L208" s="336"/>
      <c r="M208" s="336"/>
    </row>
    <row r="209" spans="9:13" ht="12.75" customHeight="1">
      <c r="I209" s="336"/>
      <c r="J209" s="336"/>
      <c r="K209" s="336"/>
      <c r="L209" s="336"/>
      <c r="M209" s="336"/>
    </row>
    <row r="210" spans="9:13" ht="12.75" customHeight="1">
      <c r="I210" s="336"/>
      <c r="J210" s="336"/>
      <c r="K210" s="336"/>
      <c r="L210" s="336"/>
      <c r="M210" s="336"/>
    </row>
    <row r="211" spans="9:13" ht="12.75" customHeight="1">
      <c r="I211" s="336"/>
      <c r="J211" s="336"/>
      <c r="K211" s="336"/>
      <c r="L211" s="336"/>
      <c r="M211" s="336"/>
    </row>
    <row r="212" spans="9:13" ht="12.75" customHeight="1">
      <c r="I212" s="336"/>
      <c r="J212" s="336"/>
      <c r="K212" s="336"/>
      <c r="L212" s="336"/>
      <c r="M212" s="336"/>
    </row>
    <row r="213" spans="9:13" ht="12.75" customHeight="1">
      <c r="I213" s="336"/>
      <c r="J213" s="336"/>
      <c r="K213" s="336"/>
      <c r="L213" s="336"/>
      <c r="M213" s="336"/>
    </row>
    <row r="214" spans="9:13" ht="12.75" customHeight="1">
      <c r="I214" s="336"/>
      <c r="J214" s="336"/>
      <c r="K214" s="336"/>
      <c r="L214" s="336"/>
      <c r="M214" s="336"/>
    </row>
    <row r="215" spans="9:13" ht="12.75" customHeight="1">
      <c r="I215" s="336"/>
      <c r="J215" s="336"/>
      <c r="K215" s="336"/>
      <c r="L215" s="336"/>
      <c r="M215" s="336"/>
    </row>
    <row r="216" spans="9:13" ht="12.75" customHeight="1">
      <c r="I216" s="336"/>
      <c r="J216" s="336"/>
      <c r="K216" s="336"/>
      <c r="L216" s="336"/>
      <c r="M216" s="336"/>
    </row>
    <row r="217" spans="9:13" ht="12.75" customHeight="1">
      <c r="I217" s="336"/>
      <c r="J217" s="336"/>
      <c r="K217" s="336"/>
      <c r="L217" s="336"/>
      <c r="M217" s="336"/>
    </row>
    <row r="218" spans="9:13" ht="12.75" customHeight="1">
      <c r="I218" s="336"/>
      <c r="J218" s="336"/>
      <c r="K218" s="336"/>
      <c r="L218" s="336"/>
      <c r="M218" s="336"/>
    </row>
    <row r="219" spans="9:13" ht="12.75" customHeight="1">
      <c r="I219" s="336"/>
      <c r="J219" s="336"/>
      <c r="K219" s="336"/>
      <c r="L219" s="336"/>
      <c r="M219" s="336"/>
    </row>
    <row r="220" spans="9:13" ht="12.75" customHeight="1">
      <c r="I220" s="336"/>
      <c r="J220" s="336"/>
      <c r="K220" s="336"/>
      <c r="L220" s="336"/>
      <c r="M220" s="336"/>
    </row>
    <row r="221" spans="9:13" ht="12.75" customHeight="1">
      <c r="I221" s="336"/>
      <c r="J221" s="336"/>
      <c r="K221" s="336"/>
      <c r="L221" s="336"/>
      <c r="M221" s="336"/>
    </row>
    <row r="222" spans="9:13" ht="12.75" customHeight="1">
      <c r="I222" s="336"/>
      <c r="J222" s="336"/>
      <c r="K222" s="336"/>
      <c r="L222" s="336"/>
      <c r="M222" s="336"/>
    </row>
    <row r="223" spans="9:13" ht="12.75" customHeight="1">
      <c r="I223" s="336"/>
      <c r="J223" s="336"/>
      <c r="K223" s="336"/>
      <c r="L223" s="336"/>
      <c r="M223" s="336"/>
    </row>
    <row r="224" spans="9:13" ht="12.75" customHeight="1">
      <c r="I224" s="336"/>
      <c r="J224" s="336"/>
      <c r="K224" s="336"/>
      <c r="L224" s="336"/>
      <c r="M224" s="336"/>
    </row>
    <row r="225" spans="9:13" ht="12.75" customHeight="1">
      <c r="I225" s="336"/>
      <c r="J225" s="336"/>
      <c r="K225" s="336"/>
      <c r="L225" s="336"/>
      <c r="M225" s="336"/>
    </row>
    <row r="226" spans="9:13" ht="12.75" customHeight="1">
      <c r="I226" s="336"/>
      <c r="J226" s="336"/>
      <c r="K226" s="336"/>
      <c r="L226" s="336"/>
      <c r="M226" s="336"/>
    </row>
    <row r="227" spans="9:13" ht="12.75" customHeight="1">
      <c r="I227" s="336"/>
      <c r="J227" s="336"/>
      <c r="K227" s="336"/>
      <c r="L227" s="336"/>
      <c r="M227" s="336"/>
    </row>
    <row r="228" spans="9:13" ht="12.75" customHeight="1">
      <c r="I228" s="336"/>
      <c r="J228" s="336"/>
      <c r="K228" s="336"/>
      <c r="L228" s="336"/>
      <c r="M228" s="336"/>
    </row>
    <row r="229" spans="9:13" ht="12.75" customHeight="1">
      <c r="I229" s="336"/>
      <c r="J229" s="336"/>
      <c r="K229" s="336"/>
      <c r="L229" s="336"/>
      <c r="M229" s="336"/>
    </row>
    <row r="230" spans="9:13" ht="12.75" customHeight="1">
      <c r="I230" s="336"/>
      <c r="J230" s="336"/>
      <c r="K230" s="336"/>
      <c r="L230" s="336"/>
      <c r="M230" s="336"/>
    </row>
    <row r="231" spans="9:13" ht="12.75" customHeight="1">
      <c r="I231" s="336"/>
      <c r="J231" s="336"/>
      <c r="K231" s="336"/>
      <c r="L231" s="336"/>
      <c r="M231" s="336"/>
    </row>
    <row r="232" spans="9:13" ht="12.75" customHeight="1">
      <c r="I232" s="336"/>
      <c r="J232" s="336"/>
      <c r="K232" s="336"/>
      <c r="L232" s="336"/>
      <c r="M232" s="336"/>
    </row>
    <row r="233" spans="9:13" ht="12.75" customHeight="1">
      <c r="I233" s="336"/>
      <c r="J233" s="336"/>
      <c r="K233" s="336"/>
      <c r="L233" s="336"/>
      <c r="M233" s="336"/>
    </row>
    <row r="234" spans="9:13" ht="12.75" customHeight="1">
      <c r="I234" s="336"/>
      <c r="J234" s="336"/>
      <c r="K234" s="336"/>
      <c r="L234" s="336"/>
      <c r="M234" s="336"/>
    </row>
    <row r="235" spans="9:13" ht="12.75" customHeight="1">
      <c r="I235" s="336"/>
      <c r="J235" s="336"/>
      <c r="K235" s="336"/>
      <c r="L235" s="336"/>
      <c r="M235" s="336"/>
    </row>
    <row r="236" spans="9:13" ht="12.75" customHeight="1">
      <c r="I236" s="336"/>
      <c r="J236" s="336"/>
      <c r="K236" s="336"/>
      <c r="L236" s="336"/>
      <c r="M236" s="336"/>
    </row>
    <row r="237" spans="9:13" ht="12.75" customHeight="1">
      <c r="I237" s="336"/>
      <c r="J237" s="336"/>
      <c r="K237" s="336"/>
      <c r="L237" s="336"/>
      <c r="M237" s="336"/>
    </row>
    <row r="238" spans="9:13" ht="12.75" customHeight="1">
      <c r="I238" s="336"/>
      <c r="J238" s="336"/>
      <c r="K238" s="336"/>
      <c r="L238" s="336"/>
      <c r="M238" s="336"/>
    </row>
    <row r="239" spans="9:13" ht="12.75" customHeight="1">
      <c r="I239" s="336"/>
      <c r="J239" s="336"/>
      <c r="K239" s="336"/>
      <c r="L239" s="336"/>
      <c r="M239" s="336"/>
    </row>
    <row r="240" spans="9:13" ht="12.75" customHeight="1">
      <c r="I240" s="336"/>
      <c r="J240" s="336"/>
      <c r="K240" s="336"/>
      <c r="L240" s="336"/>
      <c r="M240" s="336"/>
    </row>
    <row r="241" spans="9:13" ht="12.75" customHeight="1">
      <c r="I241" s="336"/>
      <c r="J241" s="336"/>
      <c r="K241" s="336"/>
      <c r="L241" s="336"/>
      <c r="M241" s="336"/>
    </row>
    <row r="242" spans="9:13" ht="12.75" customHeight="1">
      <c r="I242" s="336"/>
      <c r="J242" s="336"/>
      <c r="K242" s="336"/>
      <c r="L242" s="336"/>
      <c r="M242" s="336"/>
    </row>
    <row r="243" spans="9:13" ht="12.75" customHeight="1">
      <c r="I243" s="336"/>
      <c r="J243" s="336"/>
      <c r="K243" s="336"/>
      <c r="L243" s="336"/>
      <c r="M243" s="336"/>
    </row>
    <row r="244" spans="9:13" ht="12.75" customHeight="1">
      <c r="I244" s="336"/>
      <c r="J244" s="336"/>
      <c r="K244" s="336"/>
      <c r="L244" s="336"/>
      <c r="M244" s="336"/>
    </row>
    <row r="245" spans="9:13" ht="12.75" customHeight="1">
      <c r="I245" s="336"/>
      <c r="J245" s="336"/>
      <c r="K245" s="336"/>
      <c r="L245" s="336"/>
      <c r="M245" s="336"/>
    </row>
    <row r="246" spans="9:13" ht="12.75" customHeight="1">
      <c r="I246" s="336"/>
      <c r="J246" s="336"/>
      <c r="K246" s="336"/>
      <c r="L246" s="336"/>
      <c r="M246" s="336"/>
    </row>
    <row r="247" spans="9:13" ht="12.75" customHeight="1">
      <c r="I247" s="336"/>
      <c r="J247" s="336"/>
      <c r="K247" s="336"/>
      <c r="L247" s="336"/>
      <c r="M247" s="336"/>
    </row>
    <row r="248" spans="9:13" ht="12.75" customHeight="1">
      <c r="I248" s="336"/>
      <c r="J248" s="336"/>
      <c r="K248" s="336"/>
      <c r="L248" s="336"/>
      <c r="M248" s="336"/>
    </row>
    <row r="249" spans="9:13" ht="12.75" customHeight="1">
      <c r="I249" s="336"/>
      <c r="J249" s="336"/>
      <c r="K249" s="336"/>
      <c r="L249" s="336"/>
      <c r="M249" s="336"/>
    </row>
    <row r="250" spans="9:13" ht="12.75" customHeight="1">
      <c r="I250" s="336"/>
      <c r="J250" s="336"/>
      <c r="K250" s="336"/>
      <c r="L250" s="336"/>
      <c r="M250" s="336"/>
    </row>
    <row r="251" spans="9:13" ht="12.75" customHeight="1">
      <c r="I251" s="336"/>
      <c r="J251" s="336"/>
      <c r="K251" s="336"/>
      <c r="L251" s="336"/>
      <c r="M251" s="336"/>
    </row>
    <row r="252" spans="9:13" ht="12.75" customHeight="1">
      <c r="I252" s="336"/>
      <c r="J252" s="336"/>
      <c r="K252" s="336"/>
      <c r="L252" s="336"/>
      <c r="M252" s="336"/>
    </row>
    <row r="253" spans="9:13" ht="12.75" customHeight="1">
      <c r="I253" s="336"/>
      <c r="J253" s="336"/>
      <c r="K253" s="336"/>
      <c r="L253" s="336"/>
      <c r="M253" s="336"/>
    </row>
    <row r="254" spans="9:13" ht="12.75" customHeight="1">
      <c r="I254" s="336"/>
      <c r="J254" s="336"/>
      <c r="K254" s="336"/>
      <c r="L254" s="336"/>
      <c r="M254" s="336"/>
    </row>
    <row r="255" spans="9:13" ht="12.75" customHeight="1">
      <c r="I255" s="336"/>
      <c r="J255" s="336"/>
      <c r="K255" s="336"/>
      <c r="L255" s="336"/>
      <c r="M255" s="336"/>
    </row>
    <row r="256" spans="9:13" ht="12.75" customHeight="1">
      <c r="I256" s="336"/>
      <c r="J256" s="336"/>
      <c r="K256" s="336"/>
      <c r="L256" s="336"/>
      <c r="M256" s="336"/>
    </row>
    <row r="257" spans="9:13" ht="12.75" customHeight="1">
      <c r="I257" s="336"/>
      <c r="J257" s="336"/>
      <c r="K257" s="336"/>
      <c r="L257" s="336"/>
      <c r="M257" s="336"/>
    </row>
    <row r="258" spans="9:13" ht="12.75" customHeight="1">
      <c r="I258" s="336"/>
      <c r="J258" s="336"/>
      <c r="K258" s="336"/>
      <c r="L258" s="336"/>
      <c r="M258" s="336"/>
    </row>
    <row r="259" spans="9:13" ht="12.75" customHeight="1">
      <c r="I259" s="336"/>
      <c r="J259" s="336"/>
      <c r="K259" s="336"/>
      <c r="L259" s="336"/>
      <c r="M259" s="336"/>
    </row>
    <row r="260" spans="9:13" ht="12.75" customHeight="1">
      <c r="I260" s="336"/>
      <c r="J260" s="336"/>
      <c r="K260" s="336"/>
      <c r="L260" s="336"/>
      <c r="M260" s="336"/>
    </row>
    <row r="261" spans="9:13" ht="12.75" customHeight="1">
      <c r="I261" s="336"/>
      <c r="J261" s="336"/>
      <c r="K261" s="336"/>
      <c r="L261" s="336"/>
      <c r="M261" s="336"/>
    </row>
    <row r="262" spans="9:13" ht="12.75" customHeight="1">
      <c r="I262" s="336"/>
      <c r="J262" s="336"/>
      <c r="K262" s="336"/>
      <c r="L262" s="336"/>
      <c r="M262" s="336"/>
    </row>
    <row r="263" spans="9:13" ht="12.75" customHeight="1">
      <c r="I263" s="336"/>
      <c r="J263" s="336"/>
      <c r="K263" s="336"/>
      <c r="L263" s="336"/>
      <c r="M263" s="336"/>
    </row>
    <row r="264" spans="9:13" ht="12.75" customHeight="1">
      <c r="I264" s="336"/>
      <c r="J264" s="336"/>
      <c r="K264" s="336"/>
      <c r="L264" s="336"/>
      <c r="M264" s="336"/>
    </row>
    <row r="265" spans="9:13" ht="12.75" customHeight="1">
      <c r="I265" s="336"/>
      <c r="J265" s="336"/>
      <c r="K265" s="336"/>
      <c r="L265" s="336"/>
      <c r="M265" s="336"/>
    </row>
    <row r="266" spans="9:13" ht="12.75" customHeight="1">
      <c r="I266" s="336"/>
      <c r="J266" s="336"/>
      <c r="K266" s="336"/>
      <c r="L266" s="336"/>
      <c r="M266" s="336"/>
    </row>
    <row r="267" spans="9:13" ht="12.75" customHeight="1">
      <c r="I267" s="336"/>
      <c r="J267" s="336"/>
      <c r="K267" s="336"/>
      <c r="L267" s="336"/>
      <c r="M267" s="336"/>
    </row>
    <row r="268" spans="9:13" ht="12.75" customHeight="1">
      <c r="I268" s="336"/>
      <c r="J268" s="336"/>
      <c r="K268" s="336"/>
      <c r="L268" s="336"/>
      <c r="M268" s="336"/>
    </row>
    <row r="269" spans="9:13" ht="12.75" customHeight="1">
      <c r="I269" s="336"/>
      <c r="J269" s="336"/>
      <c r="K269" s="336"/>
      <c r="L269" s="336"/>
      <c r="M269" s="336"/>
    </row>
    <row r="270" spans="9:13" ht="12.75" customHeight="1">
      <c r="I270" s="336"/>
      <c r="J270" s="336"/>
      <c r="K270" s="336"/>
      <c r="L270" s="336"/>
      <c r="M270" s="336"/>
    </row>
    <row r="271" spans="9:13" ht="12.75" customHeight="1">
      <c r="I271" s="336"/>
      <c r="J271" s="336"/>
      <c r="K271" s="336"/>
      <c r="L271" s="336"/>
      <c r="M271" s="336"/>
    </row>
    <row r="272" spans="9:13" ht="12.75" customHeight="1">
      <c r="I272" s="336"/>
      <c r="J272" s="336"/>
      <c r="K272" s="336"/>
      <c r="L272" s="336"/>
      <c r="M272" s="336"/>
    </row>
    <row r="273" spans="9:13" ht="12.75" customHeight="1">
      <c r="I273" s="336"/>
      <c r="J273" s="336"/>
      <c r="K273" s="336"/>
      <c r="L273" s="336"/>
      <c r="M273" s="336"/>
    </row>
    <row r="274" spans="9:13" ht="12.75" customHeight="1">
      <c r="I274" s="336"/>
      <c r="J274" s="336"/>
      <c r="K274" s="336"/>
      <c r="L274" s="336"/>
      <c r="M274" s="336"/>
    </row>
    <row r="275" spans="9:13" ht="12.75" customHeight="1">
      <c r="I275" s="336"/>
      <c r="J275" s="336"/>
      <c r="K275" s="336"/>
      <c r="L275" s="336"/>
      <c r="M275" s="336"/>
    </row>
    <row r="276" spans="9:13" ht="12.75" customHeight="1">
      <c r="I276" s="336"/>
      <c r="J276" s="336"/>
      <c r="K276" s="336"/>
      <c r="L276" s="336"/>
      <c r="M276" s="336"/>
    </row>
    <row r="277" spans="9:13" ht="12.75" customHeight="1">
      <c r="I277" s="336"/>
      <c r="J277" s="336"/>
      <c r="K277" s="336"/>
      <c r="L277" s="336"/>
      <c r="M277" s="336"/>
    </row>
    <row r="278" spans="9:13" ht="12.75" customHeight="1">
      <c r="I278" s="336"/>
      <c r="J278" s="336"/>
      <c r="K278" s="336"/>
      <c r="L278" s="336"/>
      <c r="M278" s="336"/>
    </row>
    <row r="279" spans="9:13" ht="12.75" customHeight="1">
      <c r="I279" s="336"/>
      <c r="J279" s="336"/>
      <c r="K279" s="336"/>
      <c r="L279" s="336"/>
      <c r="M279" s="336"/>
    </row>
    <row r="280" spans="9:13" ht="12.75" customHeight="1">
      <c r="I280" s="336"/>
      <c r="J280" s="336"/>
      <c r="K280" s="336"/>
      <c r="L280" s="336"/>
      <c r="M280" s="336"/>
    </row>
    <row r="281" spans="9:13" ht="12.75" customHeight="1">
      <c r="I281" s="336"/>
      <c r="J281" s="336"/>
      <c r="K281" s="336"/>
      <c r="L281" s="336"/>
      <c r="M281" s="336"/>
    </row>
    <row r="282" spans="9:13" ht="12.75" customHeight="1">
      <c r="I282" s="336"/>
      <c r="J282" s="336"/>
      <c r="K282" s="336"/>
      <c r="L282" s="336"/>
      <c r="M282" s="336"/>
    </row>
    <row r="283" spans="9:13" ht="12.75" customHeight="1">
      <c r="I283" s="336"/>
      <c r="J283" s="336"/>
      <c r="K283" s="336"/>
      <c r="L283" s="336"/>
      <c r="M283" s="336"/>
    </row>
    <row r="284" spans="9:13" ht="12.75" customHeight="1">
      <c r="I284" s="336"/>
      <c r="J284" s="336"/>
      <c r="K284" s="336"/>
      <c r="L284" s="336"/>
      <c r="M284" s="336"/>
    </row>
    <row r="285" spans="9:13" ht="12.75" customHeight="1">
      <c r="I285" s="336"/>
      <c r="J285" s="336"/>
      <c r="K285" s="336"/>
      <c r="L285" s="336"/>
      <c r="M285" s="336"/>
    </row>
    <row r="286" spans="9:13" ht="12.75" customHeight="1">
      <c r="I286" s="336"/>
      <c r="J286" s="336"/>
      <c r="K286" s="336"/>
      <c r="L286" s="336"/>
      <c r="M286" s="336"/>
    </row>
    <row r="287" spans="9:13" ht="12.75" customHeight="1">
      <c r="I287" s="336"/>
      <c r="J287" s="336"/>
      <c r="K287" s="336"/>
      <c r="L287" s="336"/>
      <c r="M287" s="336"/>
    </row>
    <row r="288" spans="9:13" ht="12.75" customHeight="1">
      <c r="I288" s="336"/>
      <c r="J288" s="336"/>
      <c r="K288" s="336"/>
      <c r="L288" s="336"/>
      <c r="M288" s="336"/>
    </row>
    <row r="289" spans="9:13" ht="12.75" customHeight="1">
      <c r="I289" s="336"/>
      <c r="J289" s="336"/>
      <c r="K289" s="336"/>
      <c r="L289" s="336"/>
      <c r="M289" s="336"/>
    </row>
    <row r="290" spans="9:13" ht="12.75" customHeight="1">
      <c r="I290" s="336"/>
      <c r="J290" s="336"/>
      <c r="K290" s="336"/>
      <c r="L290" s="336"/>
      <c r="M290" s="336"/>
    </row>
    <row r="291" spans="9:13" ht="12.75" customHeight="1">
      <c r="I291" s="336"/>
      <c r="J291" s="336"/>
      <c r="K291" s="336"/>
      <c r="L291" s="336"/>
      <c r="M291" s="336"/>
    </row>
    <row r="292" spans="9:13" ht="12.75" customHeight="1">
      <c r="I292" s="336"/>
      <c r="J292" s="336"/>
      <c r="K292" s="336"/>
      <c r="L292" s="336"/>
      <c r="M292" s="336"/>
    </row>
    <row r="293" spans="9:13" ht="12.75" customHeight="1">
      <c r="I293" s="336"/>
      <c r="J293" s="336"/>
      <c r="K293" s="336"/>
      <c r="L293" s="336"/>
      <c r="M293" s="336"/>
    </row>
    <row r="294" spans="9:13" ht="12.75" customHeight="1">
      <c r="I294" s="336"/>
      <c r="J294" s="336"/>
      <c r="K294" s="336"/>
      <c r="L294" s="336"/>
      <c r="M294" s="336"/>
    </row>
    <row r="295" spans="9:13" ht="12.75" customHeight="1">
      <c r="I295" s="336"/>
      <c r="J295" s="336"/>
      <c r="K295" s="336"/>
      <c r="L295" s="336"/>
      <c r="M295" s="336"/>
    </row>
    <row r="296" spans="9:13" ht="12.75" customHeight="1">
      <c r="I296" s="336"/>
      <c r="J296" s="336"/>
      <c r="K296" s="336"/>
      <c r="L296" s="336"/>
      <c r="M296" s="336"/>
    </row>
    <row r="297" spans="9:13" ht="12.75" customHeight="1">
      <c r="I297" s="336"/>
      <c r="J297" s="336"/>
      <c r="K297" s="336"/>
      <c r="L297" s="336"/>
      <c r="M297" s="336"/>
    </row>
    <row r="298" spans="9:13" ht="12.75" customHeight="1">
      <c r="I298" s="336"/>
      <c r="J298" s="336"/>
      <c r="K298" s="336"/>
      <c r="L298" s="336"/>
      <c r="M298" s="336"/>
    </row>
    <row r="299" spans="9:13" ht="12.75" customHeight="1">
      <c r="I299" s="336"/>
      <c r="J299" s="336"/>
      <c r="K299" s="336"/>
      <c r="L299" s="336"/>
      <c r="M299" s="336"/>
    </row>
    <row r="300" spans="9:13" ht="12.75" customHeight="1">
      <c r="I300" s="336"/>
      <c r="J300" s="336"/>
      <c r="K300" s="336"/>
      <c r="L300" s="336"/>
      <c r="M300" s="336"/>
    </row>
    <row r="301" spans="9:13" ht="12.75" customHeight="1">
      <c r="I301" s="336"/>
      <c r="J301" s="336"/>
      <c r="K301" s="336"/>
      <c r="L301" s="336"/>
      <c r="M301" s="336"/>
    </row>
    <row r="302" spans="9:13" ht="12.75" customHeight="1">
      <c r="I302" s="336"/>
      <c r="J302" s="336"/>
      <c r="K302" s="336"/>
      <c r="L302" s="336"/>
      <c r="M302" s="336"/>
    </row>
    <row r="303" spans="9:13" ht="12.75" customHeight="1">
      <c r="I303" s="336"/>
      <c r="J303" s="336"/>
      <c r="K303" s="336"/>
      <c r="L303" s="336"/>
      <c r="M303" s="336"/>
    </row>
    <row r="304" spans="9:13" ht="12.75" customHeight="1">
      <c r="I304" s="336"/>
      <c r="J304" s="336"/>
      <c r="K304" s="336"/>
      <c r="L304" s="336"/>
      <c r="M304" s="336"/>
    </row>
    <row r="305" spans="9:13" ht="12.75" customHeight="1">
      <c r="I305" s="336"/>
      <c r="J305" s="336"/>
      <c r="K305" s="336"/>
      <c r="L305" s="336"/>
      <c r="M305" s="336"/>
    </row>
    <row r="306" spans="9:13" ht="12.75" customHeight="1">
      <c r="I306" s="336"/>
      <c r="J306" s="336"/>
      <c r="K306" s="336"/>
      <c r="L306" s="336"/>
      <c r="M306" s="336"/>
    </row>
    <row r="307" spans="9:13" ht="12.75" customHeight="1">
      <c r="I307" s="336"/>
      <c r="J307" s="336"/>
      <c r="K307" s="336"/>
      <c r="L307" s="336"/>
      <c r="M307" s="336"/>
    </row>
    <row r="308" spans="9:13" ht="12.75" customHeight="1">
      <c r="I308" s="336"/>
      <c r="J308" s="336"/>
      <c r="K308" s="336"/>
      <c r="L308" s="336"/>
      <c r="M308" s="336"/>
    </row>
    <row r="309" spans="9:13" ht="12.75" customHeight="1">
      <c r="I309" s="336"/>
      <c r="J309" s="336"/>
      <c r="K309" s="336"/>
      <c r="L309" s="336"/>
      <c r="M309" s="336"/>
    </row>
    <row r="310" spans="9:13" ht="12.75" customHeight="1">
      <c r="I310" s="336"/>
      <c r="J310" s="336"/>
      <c r="K310" s="336"/>
      <c r="L310" s="336"/>
      <c r="M310" s="336"/>
    </row>
    <row r="311" spans="9:13" ht="12.75" customHeight="1">
      <c r="I311" s="336"/>
      <c r="J311" s="336"/>
      <c r="K311" s="336"/>
      <c r="L311" s="336"/>
      <c r="M311" s="336"/>
    </row>
    <row r="312" spans="9:13" ht="12.75" customHeight="1">
      <c r="I312" s="336"/>
      <c r="J312" s="336"/>
      <c r="K312" s="336"/>
      <c r="L312" s="336"/>
      <c r="M312" s="336"/>
    </row>
    <row r="313" spans="9:13" ht="12.75" customHeight="1">
      <c r="I313" s="336"/>
      <c r="J313" s="336"/>
      <c r="K313" s="336"/>
      <c r="L313" s="336"/>
      <c r="M313" s="336"/>
    </row>
    <row r="314" spans="9:13" ht="12.75" customHeight="1">
      <c r="I314" s="336"/>
      <c r="J314" s="336"/>
      <c r="K314" s="336"/>
      <c r="L314" s="336"/>
      <c r="M314" s="336"/>
    </row>
    <row r="315" spans="9:13" ht="12.75" customHeight="1">
      <c r="I315" s="336"/>
      <c r="J315" s="336"/>
      <c r="K315" s="336"/>
      <c r="L315" s="336"/>
      <c r="M315" s="336"/>
    </row>
    <row r="316" spans="9:13" ht="12.75" customHeight="1">
      <c r="I316" s="336"/>
      <c r="J316" s="336"/>
      <c r="K316" s="336"/>
      <c r="L316" s="336"/>
      <c r="M316" s="336"/>
    </row>
    <row r="317" spans="9:13" ht="12.75" customHeight="1">
      <c r="I317" s="336"/>
      <c r="J317" s="336"/>
      <c r="K317" s="336"/>
      <c r="L317" s="336"/>
      <c r="M317" s="336"/>
    </row>
    <row r="318" spans="9:13" ht="12.75" customHeight="1">
      <c r="I318" s="336"/>
      <c r="J318" s="336"/>
      <c r="K318" s="336"/>
      <c r="L318" s="336"/>
      <c r="M318" s="336"/>
    </row>
    <row r="319" spans="9:13" ht="12.75" customHeight="1">
      <c r="I319" s="336"/>
      <c r="J319" s="336"/>
      <c r="K319" s="336"/>
      <c r="L319" s="336"/>
      <c r="M319" s="336"/>
    </row>
    <row r="320" spans="9:13" ht="12.75" customHeight="1">
      <c r="I320" s="336"/>
      <c r="J320" s="336"/>
      <c r="K320" s="336"/>
      <c r="L320" s="336"/>
      <c r="M320" s="336"/>
    </row>
    <row r="321" spans="9:13" ht="12.75" customHeight="1">
      <c r="I321" s="336"/>
      <c r="J321" s="336"/>
      <c r="K321" s="336"/>
      <c r="L321" s="336"/>
      <c r="M321" s="336"/>
    </row>
    <row r="322" spans="9:13" ht="12.75" customHeight="1">
      <c r="I322" s="336"/>
      <c r="J322" s="336"/>
      <c r="K322" s="336"/>
      <c r="L322" s="336"/>
      <c r="M322" s="336"/>
    </row>
    <row r="323" spans="9:13" ht="12.75" customHeight="1">
      <c r="I323" s="336"/>
      <c r="J323" s="336"/>
      <c r="K323" s="336"/>
      <c r="L323" s="336"/>
      <c r="M323" s="336"/>
    </row>
    <row r="324" spans="9:13" ht="12.75" customHeight="1">
      <c r="I324" s="336"/>
      <c r="J324" s="336"/>
      <c r="K324" s="336"/>
      <c r="L324" s="336"/>
      <c r="M324" s="336"/>
    </row>
    <row r="325" spans="9:13" ht="12.75" customHeight="1">
      <c r="I325" s="336"/>
      <c r="J325" s="336"/>
      <c r="K325" s="336"/>
      <c r="L325" s="336"/>
      <c r="M325" s="336"/>
    </row>
    <row r="326" spans="9:13" ht="12.75" customHeight="1">
      <c r="I326" s="336"/>
      <c r="J326" s="336"/>
      <c r="K326" s="336"/>
      <c r="L326" s="336"/>
      <c r="M326" s="336"/>
    </row>
    <row r="327" spans="9:13" ht="12.75" customHeight="1">
      <c r="I327" s="336"/>
      <c r="J327" s="336"/>
      <c r="K327" s="336"/>
      <c r="L327" s="336"/>
      <c r="M327" s="336"/>
    </row>
    <row r="328" spans="9:13" ht="12.75" customHeight="1">
      <c r="I328" s="336"/>
      <c r="J328" s="336"/>
      <c r="K328" s="336"/>
      <c r="L328" s="336"/>
      <c r="M328" s="336"/>
    </row>
    <row r="329" spans="9:13" ht="12.75" customHeight="1">
      <c r="I329" s="336"/>
      <c r="J329" s="336"/>
      <c r="K329" s="336"/>
      <c r="L329" s="336"/>
      <c r="M329" s="336"/>
    </row>
    <row r="330" spans="9:13" ht="12.75" customHeight="1">
      <c r="I330" s="336"/>
      <c r="J330" s="336"/>
      <c r="K330" s="336"/>
      <c r="L330" s="336"/>
      <c r="M330" s="336"/>
    </row>
    <row r="331" spans="9:13" ht="12.75" customHeight="1">
      <c r="I331" s="336"/>
      <c r="J331" s="336"/>
      <c r="K331" s="336"/>
      <c r="L331" s="336"/>
      <c r="M331" s="336"/>
    </row>
    <row r="332" spans="9:13" ht="12.75" customHeight="1">
      <c r="I332" s="336"/>
      <c r="J332" s="336"/>
      <c r="K332" s="336"/>
      <c r="L332" s="336"/>
      <c r="M332" s="336"/>
    </row>
    <row r="333" spans="9:13" ht="12.75" customHeight="1">
      <c r="I333" s="336"/>
      <c r="J333" s="336"/>
      <c r="K333" s="336"/>
      <c r="L333" s="336"/>
      <c r="M333" s="336"/>
    </row>
    <row r="334" spans="9:13" ht="12.75" customHeight="1">
      <c r="I334" s="336"/>
      <c r="J334" s="336"/>
      <c r="K334" s="336"/>
      <c r="L334" s="336"/>
      <c r="M334" s="336"/>
    </row>
    <row r="335" spans="9:13" ht="12.75" customHeight="1">
      <c r="I335" s="336"/>
      <c r="J335" s="336"/>
      <c r="K335" s="336"/>
      <c r="L335" s="336"/>
      <c r="M335" s="336"/>
    </row>
    <row r="336" spans="9:13" ht="12.75" customHeight="1">
      <c r="I336" s="336"/>
      <c r="J336" s="336"/>
      <c r="K336" s="336"/>
      <c r="L336" s="336"/>
      <c r="M336" s="336"/>
    </row>
    <row r="337" spans="9:13" ht="12.75" customHeight="1">
      <c r="I337" s="336"/>
      <c r="J337" s="336"/>
      <c r="K337" s="336"/>
      <c r="L337" s="336"/>
      <c r="M337" s="336"/>
    </row>
    <row r="338" spans="9:13" ht="12.75" customHeight="1">
      <c r="I338" s="336"/>
      <c r="J338" s="336"/>
      <c r="K338" s="336"/>
      <c r="L338" s="336"/>
      <c r="M338" s="336"/>
    </row>
    <row r="339" spans="9:13" ht="12.75" customHeight="1">
      <c r="I339" s="336"/>
      <c r="J339" s="336"/>
      <c r="K339" s="336"/>
      <c r="L339" s="336"/>
      <c r="M339" s="336"/>
    </row>
    <row r="340" spans="9:13" ht="12.75" customHeight="1">
      <c r="I340" s="336"/>
      <c r="J340" s="336"/>
      <c r="K340" s="336"/>
      <c r="L340" s="336"/>
      <c r="M340" s="336"/>
    </row>
    <row r="341" spans="9:13" ht="12.75" customHeight="1">
      <c r="I341" s="336"/>
      <c r="J341" s="336"/>
      <c r="K341" s="336"/>
      <c r="L341" s="336"/>
      <c r="M341" s="336"/>
    </row>
    <row r="342" spans="9:13" ht="12.75" customHeight="1">
      <c r="I342" s="336"/>
      <c r="J342" s="336"/>
      <c r="K342" s="336"/>
      <c r="L342" s="336"/>
      <c r="M342" s="336"/>
    </row>
    <row r="343" spans="9:13" ht="12.75" customHeight="1">
      <c r="I343" s="336"/>
      <c r="J343" s="336"/>
      <c r="K343" s="336"/>
      <c r="L343" s="336"/>
      <c r="M343" s="336"/>
    </row>
    <row r="344" spans="9:13" ht="12.75" customHeight="1">
      <c r="I344" s="336"/>
      <c r="J344" s="336"/>
      <c r="K344" s="336"/>
      <c r="L344" s="336"/>
      <c r="M344" s="336"/>
    </row>
    <row r="345" spans="9:13" ht="12.75" customHeight="1">
      <c r="I345" s="336"/>
      <c r="J345" s="336"/>
      <c r="K345" s="336"/>
      <c r="L345" s="336"/>
      <c r="M345" s="336"/>
    </row>
    <row r="346" spans="9:13" ht="12.75" customHeight="1">
      <c r="I346" s="336"/>
      <c r="J346" s="336"/>
      <c r="K346" s="336"/>
      <c r="L346" s="336"/>
      <c r="M346" s="336"/>
    </row>
    <row r="347" spans="9:13" ht="12.75" customHeight="1">
      <c r="I347" s="336"/>
      <c r="J347" s="336"/>
      <c r="K347" s="336"/>
      <c r="L347" s="336"/>
      <c r="M347" s="336"/>
    </row>
    <row r="348" spans="9:13" ht="12.75" customHeight="1">
      <c r="I348" s="336"/>
      <c r="J348" s="336"/>
      <c r="K348" s="336"/>
      <c r="L348" s="336"/>
      <c r="M348" s="336"/>
    </row>
    <row r="349" spans="9:13" ht="12.75" customHeight="1">
      <c r="I349" s="336"/>
      <c r="J349" s="336"/>
      <c r="K349" s="336"/>
      <c r="L349" s="336"/>
      <c r="M349" s="336"/>
    </row>
    <row r="350" spans="9:13" ht="12.75" customHeight="1">
      <c r="I350" s="336"/>
      <c r="J350" s="336"/>
      <c r="K350" s="336"/>
      <c r="L350" s="336"/>
      <c r="M350" s="336"/>
    </row>
    <row r="351" spans="9:13" ht="12.75" customHeight="1">
      <c r="I351" s="336"/>
      <c r="J351" s="336"/>
      <c r="K351" s="336"/>
      <c r="L351" s="336"/>
      <c r="M351" s="336"/>
    </row>
    <row r="352" spans="9:13" ht="12.75" customHeight="1">
      <c r="I352" s="336"/>
      <c r="J352" s="336"/>
      <c r="K352" s="336"/>
      <c r="L352" s="336"/>
      <c r="M352" s="336"/>
    </row>
    <row r="353" spans="9:13" ht="12.75" customHeight="1">
      <c r="I353" s="336"/>
      <c r="J353" s="336"/>
      <c r="K353" s="336"/>
      <c r="L353" s="336"/>
      <c r="M353" s="336"/>
    </row>
    <row r="354" spans="9:13" ht="12.75" customHeight="1">
      <c r="I354" s="336"/>
      <c r="J354" s="336"/>
      <c r="K354" s="336"/>
      <c r="L354" s="336"/>
      <c r="M354" s="336"/>
    </row>
    <row r="355" spans="9:13" ht="12.75" customHeight="1">
      <c r="I355" s="336"/>
      <c r="J355" s="336"/>
      <c r="K355" s="336"/>
      <c r="L355" s="336"/>
      <c r="M355" s="336"/>
    </row>
    <row r="356" spans="9:13" ht="12.75" customHeight="1">
      <c r="I356" s="336"/>
      <c r="J356" s="336"/>
      <c r="K356" s="336"/>
      <c r="L356" s="336"/>
      <c r="M356" s="336"/>
    </row>
    <row r="357" spans="9:13" ht="12.75" customHeight="1">
      <c r="I357" s="336"/>
      <c r="J357" s="336"/>
      <c r="K357" s="336"/>
      <c r="L357" s="336"/>
      <c r="M357" s="336"/>
    </row>
    <row r="358" spans="9:13" ht="12.75" customHeight="1">
      <c r="I358" s="336"/>
      <c r="J358" s="336"/>
      <c r="K358" s="336"/>
      <c r="L358" s="336"/>
      <c r="M358" s="336"/>
    </row>
    <row r="359" spans="9:13" ht="12.75" customHeight="1">
      <c r="I359" s="336"/>
      <c r="J359" s="336"/>
      <c r="K359" s="336"/>
      <c r="L359" s="336"/>
      <c r="M359" s="336"/>
    </row>
    <row r="360" spans="9:13" ht="12.75" customHeight="1">
      <c r="I360" s="336"/>
      <c r="J360" s="336"/>
      <c r="K360" s="336"/>
      <c r="L360" s="336"/>
      <c r="M360" s="336"/>
    </row>
    <row r="361" spans="9:13" ht="12.75" customHeight="1">
      <c r="I361" s="336"/>
      <c r="J361" s="336"/>
      <c r="K361" s="336"/>
      <c r="L361" s="336"/>
      <c r="M361" s="336"/>
    </row>
    <row r="362" spans="9:13" ht="12.75" customHeight="1">
      <c r="I362" s="336"/>
      <c r="J362" s="336"/>
      <c r="K362" s="336"/>
      <c r="L362" s="336"/>
      <c r="M362" s="336"/>
    </row>
    <row r="363" spans="9:13" ht="12.75" customHeight="1">
      <c r="I363" s="336"/>
      <c r="J363" s="336"/>
      <c r="K363" s="336"/>
      <c r="L363" s="336"/>
      <c r="M363" s="336"/>
    </row>
    <row r="364" spans="9:13" ht="12.75" customHeight="1">
      <c r="I364" s="336"/>
      <c r="J364" s="336"/>
      <c r="K364" s="336"/>
      <c r="L364" s="336"/>
      <c r="M364" s="336"/>
    </row>
    <row r="365" spans="9:13" ht="12.75" customHeight="1">
      <c r="I365" s="336"/>
      <c r="J365" s="336"/>
      <c r="K365" s="336"/>
      <c r="L365" s="336"/>
      <c r="M365" s="336"/>
    </row>
    <row r="366" spans="9:13" ht="12.75" customHeight="1">
      <c r="I366" s="336"/>
      <c r="J366" s="336"/>
      <c r="K366" s="336"/>
      <c r="L366" s="336"/>
      <c r="M366" s="336"/>
    </row>
    <row r="367" spans="9:13" ht="12.75" customHeight="1">
      <c r="I367" s="336"/>
      <c r="J367" s="336"/>
      <c r="K367" s="336"/>
      <c r="L367" s="336"/>
      <c r="M367" s="336"/>
    </row>
    <row r="368" spans="9:13" ht="12.75" customHeight="1">
      <c r="I368" s="336"/>
      <c r="J368" s="336"/>
      <c r="K368" s="336"/>
      <c r="L368" s="336"/>
      <c r="M368" s="336"/>
    </row>
    <row r="369" spans="9:13" ht="12.75" customHeight="1">
      <c r="I369" s="336"/>
      <c r="J369" s="336"/>
      <c r="K369" s="336"/>
      <c r="L369" s="336"/>
      <c r="M369" s="336"/>
    </row>
    <row r="370" spans="9:13" ht="12.75" customHeight="1">
      <c r="I370" s="336"/>
      <c r="J370" s="336"/>
      <c r="K370" s="336"/>
      <c r="L370" s="336"/>
      <c r="M370" s="336"/>
    </row>
    <row r="371" spans="9:13" ht="12.75" customHeight="1">
      <c r="I371" s="336"/>
      <c r="J371" s="336"/>
      <c r="K371" s="336"/>
      <c r="L371" s="336"/>
      <c r="M371" s="336"/>
    </row>
    <row r="372" spans="9:13" ht="12.75" customHeight="1">
      <c r="I372" s="336"/>
      <c r="J372" s="336"/>
      <c r="K372" s="336"/>
      <c r="L372" s="336"/>
      <c r="M372" s="336"/>
    </row>
    <row r="373" spans="9:13" ht="12.75" customHeight="1">
      <c r="I373" s="336"/>
      <c r="J373" s="336"/>
      <c r="K373" s="336"/>
      <c r="L373" s="336"/>
      <c r="M373" s="336"/>
    </row>
    <row r="374" spans="9:13" ht="12.75" customHeight="1">
      <c r="I374" s="336"/>
      <c r="J374" s="336"/>
      <c r="K374" s="336"/>
      <c r="L374" s="336"/>
      <c r="M374" s="336"/>
    </row>
    <row r="375" spans="9:13" ht="12.75" customHeight="1">
      <c r="I375" s="336"/>
      <c r="J375" s="336"/>
      <c r="K375" s="336"/>
      <c r="L375" s="336"/>
      <c r="M375" s="336"/>
    </row>
    <row r="376" spans="9:13" ht="12.75" customHeight="1">
      <c r="I376" s="336"/>
      <c r="J376" s="336"/>
      <c r="K376" s="336"/>
      <c r="L376" s="336"/>
      <c r="M376" s="336"/>
    </row>
    <row r="377" spans="9:13" ht="12.75" customHeight="1">
      <c r="I377" s="336"/>
      <c r="J377" s="336"/>
      <c r="K377" s="336"/>
      <c r="L377" s="336"/>
      <c r="M377" s="336"/>
    </row>
    <row r="378" spans="9:13" ht="12.75" customHeight="1">
      <c r="I378" s="336"/>
      <c r="J378" s="336"/>
      <c r="K378" s="336"/>
      <c r="L378" s="336"/>
      <c r="M378" s="336"/>
    </row>
    <row r="379" spans="9:13" ht="12.75" customHeight="1">
      <c r="I379" s="336"/>
      <c r="J379" s="336"/>
      <c r="K379" s="336"/>
      <c r="L379" s="336"/>
      <c r="M379" s="336"/>
    </row>
    <row r="380" spans="9:13" ht="12.75" customHeight="1">
      <c r="I380" s="336"/>
      <c r="J380" s="336"/>
      <c r="K380" s="336"/>
      <c r="L380" s="336"/>
      <c r="M380" s="336"/>
    </row>
    <row r="381" spans="9:13" ht="12.75" customHeight="1">
      <c r="I381" s="336"/>
      <c r="J381" s="336"/>
      <c r="K381" s="336"/>
      <c r="L381" s="336"/>
      <c r="M381" s="336"/>
    </row>
    <row r="382" spans="9:13" ht="12.75" customHeight="1">
      <c r="I382" s="336"/>
      <c r="J382" s="336"/>
      <c r="K382" s="336"/>
      <c r="L382" s="336"/>
      <c r="M382" s="336"/>
    </row>
    <row r="383" spans="9:13" ht="12.75" customHeight="1">
      <c r="I383" s="336"/>
      <c r="J383" s="336"/>
      <c r="K383" s="336"/>
      <c r="L383" s="336"/>
      <c r="M383" s="336"/>
    </row>
    <row r="384" spans="9:13" ht="12.75" customHeight="1">
      <c r="I384" s="336"/>
      <c r="J384" s="336"/>
      <c r="K384" s="336"/>
      <c r="L384" s="336"/>
      <c r="M384" s="336"/>
    </row>
    <row r="385" spans="9:13" ht="12.75" customHeight="1">
      <c r="I385" s="336"/>
      <c r="J385" s="336"/>
      <c r="K385" s="336"/>
      <c r="L385" s="336"/>
      <c r="M385" s="336"/>
    </row>
    <row r="386" spans="9:13" ht="12.75" customHeight="1">
      <c r="I386" s="336"/>
      <c r="J386" s="336"/>
      <c r="K386" s="336"/>
      <c r="L386" s="336"/>
      <c r="M386" s="336"/>
    </row>
    <row r="387" spans="9:13" ht="12.75" customHeight="1">
      <c r="I387" s="336"/>
      <c r="J387" s="336"/>
      <c r="K387" s="336"/>
      <c r="L387" s="336"/>
      <c r="M387" s="336"/>
    </row>
    <row r="388" spans="9:13" ht="12.75" customHeight="1">
      <c r="I388" s="336"/>
      <c r="J388" s="336"/>
      <c r="K388" s="336"/>
      <c r="L388" s="336"/>
      <c r="M388" s="336"/>
    </row>
    <row r="389" spans="9:13" ht="12.75" customHeight="1">
      <c r="I389" s="336"/>
      <c r="J389" s="336"/>
      <c r="K389" s="336"/>
      <c r="L389" s="336"/>
      <c r="M389" s="336"/>
    </row>
    <row r="390" spans="9:13" ht="12.75" customHeight="1">
      <c r="I390" s="336"/>
      <c r="J390" s="336"/>
      <c r="K390" s="336"/>
      <c r="L390" s="336"/>
      <c r="M390" s="336"/>
    </row>
    <row r="391" spans="9:13" ht="12.75" customHeight="1">
      <c r="I391" s="336"/>
      <c r="J391" s="336"/>
      <c r="K391" s="336"/>
      <c r="L391" s="336"/>
      <c r="M391" s="336"/>
    </row>
    <row r="392" spans="9:13" ht="12.75" customHeight="1">
      <c r="I392" s="336"/>
      <c r="J392" s="336"/>
      <c r="K392" s="336"/>
      <c r="L392" s="336"/>
      <c r="M392" s="336"/>
    </row>
    <row r="393" spans="9:13" ht="12.75" customHeight="1">
      <c r="I393" s="336"/>
      <c r="J393" s="336"/>
      <c r="K393" s="336"/>
      <c r="L393" s="336"/>
      <c r="M393" s="336"/>
    </row>
    <row r="394" spans="9:13" ht="12.75" customHeight="1">
      <c r="I394" s="336"/>
      <c r="J394" s="336"/>
      <c r="K394" s="336"/>
      <c r="L394" s="336"/>
      <c r="M394" s="336"/>
    </row>
    <row r="395" spans="9:13" ht="12.75" customHeight="1">
      <c r="I395" s="336"/>
      <c r="J395" s="336"/>
      <c r="K395" s="336"/>
      <c r="L395" s="336"/>
      <c r="M395" s="336"/>
    </row>
    <row r="396" spans="9:13" ht="12.75" customHeight="1">
      <c r="I396" s="336"/>
      <c r="J396" s="336"/>
      <c r="K396" s="336"/>
      <c r="L396" s="336"/>
      <c r="M396" s="336"/>
    </row>
    <row r="397" spans="9:13" ht="12.75" customHeight="1">
      <c r="I397" s="336"/>
      <c r="J397" s="336"/>
      <c r="K397" s="336"/>
      <c r="L397" s="336"/>
      <c r="M397" s="336"/>
    </row>
  </sheetData>
  <sheetProtection/>
  <mergeCells count="504">
    <mergeCell ref="A113:H113"/>
    <mergeCell ref="A114:B114"/>
    <mergeCell ref="A115:B115"/>
    <mergeCell ref="A116:B116"/>
    <mergeCell ref="A117:C117"/>
    <mergeCell ref="C110:C111"/>
    <mergeCell ref="D110:D111"/>
    <mergeCell ref="E110:E111"/>
    <mergeCell ref="F110:F111"/>
    <mergeCell ref="G110:G111"/>
    <mergeCell ref="H110:H111"/>
    <mergeCell ref="C108:C109"/>
    <mergeCell ref="D108:D109"/>
    <mergeCell ref="E108:E109"/>
    <mergeCell ref="F108:F109"/>
    <mergeCell ref="G108:G109"/>
    <mergeCell ref="H108:H109"/>
    <mergeCell ref="C106:C107"/>
    <mergeCell ref="D106:D107"/>
    <mergeCell ref="E106:E107"/>
    <mergeCell ref="F106:F107"/>
    <mergeCell ref="G106:G107"/>
    <mergeCell ref="H106:H107"/>
    <mergeCell ref="C104:C105"/>
    <mergeCell ref="D104:D105"/>
    <mergeCell ref="E104:E105"/>
    <mergeCell ref="F104:F105"/>
    <mergeCell ref="G104:G105"/>
    <mergeCell ref="H104:H105"/>
    <mergeCell ref="C102:C103"/>
    <mergeCell ref="D102:D103"/>
    <mergeCell ref="E102:E103"/>
    <mergeCell ref="F102:F103"/>
    <mergeCell ref="G102:G103"/>
    <mergeCell ref="H102:H103"/>
    <mergeCell ref="C100:C101"/>
    <mergeCell ref="D100:D101"/>
    <mergeCell ref="E100:E101"/>
    <mergeCell ref="F100:F101"/>
    <mergeCell ref="G100:G101"/>
    <mergeCell ref="H100:H101"/>
    <mergeCell ref="C98:C99"/>
    <mergeCell ref="D98:D99"/>
    <mergeCell ref="E98:E99"/>
    <mergeCell ref="F98:F99"/>
    <mergeCell ref="G98:G99"/>
    <mergeCell ref="H98:H99"/>
    <mergeCell ref="C96:C97"/>
    <mergeCell ref="D96:D97"/>
    <mergeCell ref="E96:E97"/>
    <mergeCell ref="F96:F97"/>
    <mergeCell ref="G96:G97"/>
    <mergeCell ref="H96:H97"/>
    <mergeCell ref="C94:C95"/>
    <mergeCell ref="D94:D95"/>
    <mergeCell ref="E94:E95"/>
    <mergeCell ref="F94:F95"/>
    <mergeCell ref="G94:G95"/>
    <mergeCell ref="H94:H95"/>
    <mergeCell ref="C92:C93"/>
    <mergeCell ref="D92:D93"/>
    <mergeCell ref="E92:E93"/>
    <mergeCell ref="F92:F93"/>
    <mergeCell ref="G92:G93"/>
    <mergeCell ref="H92:H93"/>
    <mergeCell ref="H88:H89"/>
    <mergeCell ref="C90:C91"/>
    <mergeCell ref="D90:D91"/>
    <mergeCell ref="E90:E91"/>
    <mergeCell ref="F90:F91"/>
    <mergeCell ref="G90:G91"/>
    <mergeCell ref="H90:H91"/>
    <mergeCell ref="J79:J80"/>
    <mergeCell ref="K79:K80"/>
    <mergeCell ref="L79:L80"/>
    <mergeCell ref="M79:M80"/>
    <mergeCell ref="C85:H85"/>
    <mergeCell ref="C88:C89"/>
    <mergeCell ref="D88:D89"/>
    <mergeCell ref="E88:E89"/>
    <mergeCell ref="F88:F89"/>
    <mergeCell ref="G88:G89"/>
    <mergeCell ref="L77:L78"/>
    <mergeCell ref="M77:M78"/>
    <mergeCell ref="N78:N79"/>
    <mergeCell ref="C79:C80"/>
    <mergeCell ref="D79:D80"/>
    <mergeCell ref="E79:E80"/>
    <mergeCell ref="F79:F80"/>
    <mergeCell ref="G79:G80"/>
    <mergeCell ref="H79:H80"/>
    <mergeCell ref="I79:I80"/>
    <mergeCell ref="N76:N77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4:O75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4:N75"/>
    <mergeCell ref="J75:J76"/>
    <mergeCell ref="K75:K76"/>
    <mergeCell ref="L75:L76"/>
    <mergeCell ref="M75:M76"/>
    <mergeCell ref="N72:N73"/>
    <mergeCell ref="O72:O73"/>
    <mergeCell ref="A73:A74"/>
    <mergeCell ref="B73:B74"/>
    <mergeCell ref="C73:C74"/>
    <mergeCell ref="D73:D74"/>
    <mergeCell ref="E73:E74"/>
    <mergeCell ref="F73:F74"/>
    <mergeCell ref="G73:G74"/>
    <mergeCell ref="H73:H74"/>
    <mergeCell ref="O70:O71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I69:I70"/>
    <mergeCell ref="J69:J70"/>
    <mergeCell ref="K69:K70"/>
    <mergeCell ref="L69:L70"/>
    <mergeCell ref="M69:M70"/>
    <mergeCell ref="N70:N71"/>
    <mergeCell ref="J71:J72"/>
    <mergeCell ref="K71:K72"/>
    <mergeCell ref="L71:L72"/>
    <mergeCell ref="M71:M72"/>
    <mergeCell ref="N68:N69"/>
    <mergeCell ref="O68:O69"/>
    <mergeCell ref="A69:A70"/>
    <mergeCell ref="B69:B70"/>
    <mergeCell ref="C69:C70"/>
    <mergeCell ref="D69:D70"/>
    <mergeCell ref="E69:E70"/>
    <mergeCell ref="F69:F70"/>
    <mergeCell ref="G69:G70"/>
    <mergeCell ref="H69:H70"/>
    <mergeCell ref="O66:O6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6:N67"/>
    <mergeCell ref="J67:J68"/>
    <mergeCell ref="K67:K68"/>
    <mergeCell ref="L67:L68"/>
    <mergeCell ref="M67:M68"/>
    <mergeCell ref="N64:N65"/>
    <mergeCell ref="O64:O65"/>
    <mergeCell ref="A65:A66"/>
    <mergeCell ref="B65:B66"/>
    <mergeCell ref="C65:C66"/>
    <mergeCell ref="D65:D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M61:M62"/>
    <mergeCell ref="N62:N63"/>
    <mergeCell ref="O62:O63"/>
    <mergeCell ref="A63:A64"/>
    <mergeCell ref="B63:B64"/>
    <mergeCell ref="C63:C64"/>
    <mergeCell ref="D63:D64"/>
    <mergeCell ref="E63:E64"/>
    <mergeCell ref="F63:F64"/>
    <mergeCell ref="G63:G64"/>
    <mergeCell ref="G61:G62"/>
    <mergeCell ref="H61:H62"/>
    <mergeCell ref="I61:I62"/>
    <mergeCell ref="J61:J62"/>
    <mergeCell ref="K61:K62"/>
    <mergeCell ref="L61:L62"/>
    <mergeCell ref="J51:J52"/>
    <mergeCell ref="K51:K52"/>
    <mergeCell ref="L51:L52"/>
    <mergeCell ref="M51:M52"/>
    <mergeCell ref="A61:A62"/>
    <mergeCell ref="B61:B62"/>
    <mergeCell ref="C61:C62"/>
    <mergeCell ref="D61:D62"/>
    <mergeCell ref="E61:E62"/>
    <mergeCell ref="F61:F62"/>
    <mergeCell ref="L49:L50"/>
    <mergeCell ref="M49:M50"/>
    <mergeCell ref="N50:N51"/>
    <mergeCell ref="C51:C52"/>
    <mergeCell ref="D51:D52"/>
    <mergeCell ref="E51:E52"/>
    <mergeCell ref="F51:F52"/>
    <mergeCell ref="G51:G52"/>
    <mergeCell ref="H51:H52"/>
    <mergeCell ref="I51:I52"/>
    <mergeCell ref="N48:N49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O46:O47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5:I46"/>
    <mergeCell ref="J45:J46"/>
    <mergeCell ref="K45:K46"/>
    <mergeCell ref="L45:L46"/>
    <mergeCell ref="M45:M46"/>
    <mergeCell ref="N46:N47"/>
    <mergeCell ref="J47:J48"/>
    <mergeCell ref="K47:K48"/>
    <mergeCell ref="L47:L48"/>
    <mergeCell ref="M47:M48"/>
    <mergeCell ref="N44:N45"/>
    <mergeCell ref="O44:O45"/>
    <mergeCell ref="A45:A46"/>
    <mergeCell ref="B45:B46"/>
    <mergeCell ref="C45:C46"/>
    <mergeCell ref="D45:D46"/>
    <mergeCell ref="E45:E46"/>
    <mergeCell ref="F45:F46"/>
    <mergeCell ref="G45:G46"/>
    <mergeCell ref="H45:H46"/>
    <mergeCell ref="O42:O43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I41:I42"/>
    <mergeCell ref="J41:J42"/>
    <mergeCell ref="K41:K42"/>
    <mergeCell ref="L41:L42"/>
    <mergeCell ref="M41:M42"/>
    <mergeCell ref="N42:N43"/>
    <mergeCell ref="J43:J44"/>
    <mergeCell ref="K43:K44"/>
    <mergeCell ref="L43:L44"/>
    <mergeCell ref="M43:M44"/>
    <mergeCell ref="N40:N41"/>
    <mergeCell ref="O40:O41"/>
    <mergeCell ref="A41:A42"/>
    <mergeCell ref="B41:B42"/>
    <mergeCell ref="C41:C42"/>
    <mergeCell ref="D41:D42"/>
    <mergeCell ref="E41:E42"/>
    <mergeCell ref="F41:F42"/>
    <mergeCell ref="G41:G42"/>
    <mergeCell ref="H41:H42"/>
    <mergeCell ref="O38:O39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I37:I38"/>
    <mergeCell ref="J37:J38"/>
    <mergeCell ref="K37:K38"/>
    <mergeCell ref="L37:L38"/>
    <mergeCell ref="M37:M38"/>
    <mergeCell ref="N38:N39"/>
    <mergeCell ref="J39:J40"/>
    <mergeCell ref="K39:K40"/>
    <mergeCell ref="L39:L40"/>
    <mergeCell ref="M39:M40"/>
    <mergeCell ref="N36:N37"/>
    <mergeCell ref="O36:O37"/>
    <mergeCell ref="A37:A38"/>
    <mergeCell ref="B37:B38"/>
    <mergeCell ref="C37:C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M33:M34"/>
    <mergeCell ref="N34:N35"/>
    <mergeCell ref="O34:O35"/>
    <mergeCell ref="A35:A36"/>
    <mergeCell ref="B35:B36"/>
    <mergeCell ref="C35:C36"/>
    <mergeCell ref="D35:D36"/>
    <mergeCell ref="E35:E36"/>
    <mergeCell ref="F35:F36"/>
    <mergeCell ref="G35:G36"/>
    <mergeCell ref="G33:G34"/>
    <mergeCell ref="H33:H34"/>
    <mergeCell ref="I33:I34"/>
    <mergeCell ref="J33:J34"/>
    <mergeCell ref="K33:K34"/>
    <mergeCell ref="L33:L34"/>
    <mergeCell ref="J23:J24"/>
    <mergeCell ref="K23:K24"/>
    <mergeCell ref="L23:L24"/>
    <mergeCell ref="M23:M24"/>
    <mergeCell ref="A33:A34"/>
    <mergeCell ref="B33:B34"/>
    <mergeCell ref="C33:C34"/>
    <mergeCell ref="D33:D34"/>
    <mergeCell ref="E33:E34"/>
    <mergeCell ref="F33:F34"/>
    <mergeCell ref="L21:L22"/>
    <mergeCell ref="M21:M22"/>
    <mergeCell ref="N22:N23"/>
    <mergeCell ref="C23:C24"/>
    <mergeCell ref="D23:D24"/>
    <mergeCell ref="E23:E24"/>
    <mergeCell ref="F23:F24"/>
    <mergeCell ref="G23:G24"/>
    <mergeCell ref="H23:H24"/>
    <mergeCell ref="I23:I24"/>
    <mergeCell ref="N20:N21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18:O1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M17:M18"/>
    <mergeCell ref="N18:N19"/>
    <mergeCell ref="J19:J20"/>
    <mergeCell ref="K19:K20"/>
    <mergeCell ref="L19:L20"/>
    <mergeCell ref="M19:M20"/>
    <mergeCell ref="N16:N17"/>
    <mergeCell ref="O16:O17"/>
    <mergeCell ref="A17:A18"/>
    <mergeCell ref="B17:B18"/>
    <mergeCell ref="C17:C18"/>
    <mergeCell ref="D17:D18"/>
    <mergeCell ref="E17:E18"/>
    <mergeCell ref="F17:F18"/>
    <mergeCell ref="G17:G18"/>
    <mergeCell ref="H17:H18"/>
    <mergeCell ref="O14:O1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4:N15"/>
    <mergeCell ref="J15:J16"/>
    <mergeCell ref="K15:K16"/>
    <mergeCell ref="L15:L16"/>
    <mergeCell ref="M15:M16"/>
    <mergeCell ref="N12:N13"/>
    <mergeCell ref="O12:O13"/>
    <mergeCell ref="A13:A14"/>
    <mergeCell ref="B13:B14"/>
    <mergeCell ref="C13:C14"/>
    <mergeCell ref="D13:D14"/>
    <mergeCell ref="E13:E14"/>
    <mergeCell ref="F13:F14"/>
    <mergeCell ref="G13:G14"/>
    <mergeCell ref="H13:H14"/>
    <mergeCell ref="O10:O1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I9:I10"/>
    <mergeCell ref="J9:J10"/>
    <mergeCell ref="K9:K10"/>
    <mergeCell ref="L9:L10"/>
    <mergeCell ref="M9:M10"/>
    <mergeCell ref="N10:N11"/>
    <mergeCell ref="J11:J12"/>
    <mergeCell ref="K11:K12"/>
    <mergeCell ref="L11:L12"/>
    <mergeCell ref="M11:M12"/>
    <mergeCell ref="N8:N9"/>
    <mergeCell ref="O8:O9"/>
    <mergeCell ref="A9:A10"/>
    <mergeCell ref="B9:B10"/>
    <mergeCell ref="C9:C10"/>
    <mergeCell ref="D9:D10"/>
    <mergeCell ref="E9:E10"/>
    <mergeCell ref="F9:F10"/>
    <mergeCell ref="G9:G10"/>
    <mergeCell ref="H9:H10"/>
    <mergeCell ref="H7:H8"/>
    <mergeCell ref="I7:I8"/>
    <mergeCell ref="J7:J8"/>
    <mergeCell ref="K7:K8"/>
    <mergeCell ref="L7:L8"/>
    <mergeCell ref="M7:M8"/>
    <mergeCell ref="M5:M6"/>
    <mergeCell ref="N6:N7"/>
    <mergeCell ref="O6:O7"/>
    <mergeCell ref="A7:A8"/>
    <mergeCell ref="B7:B8"/>
    <mergeCell ref="C7:C8"/>
    <mergeCell ref="D7:D8"/>
    <mergeCell ref="E7:E8"/>
    <mergeCell ref="F7:F8"/>
    <mergeCell ref="G7:G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" footer="0"/>
  <pageSetup fitToHeight="1" fitToWidth="1" horizontalDpi="300" verticalDpi="300" orientation="portrait" paperSize="9" scale="4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selection activeCell="B57" sqref="B57"/>
    </sheetView>
  </sheetViews>
  <sheetFormatPr defaultColWidth="9.140625" defaultRowHeight="12.75"/>
  <cols>
    <col min="1" max="1" width="9.28125" style="0" customWidth="1"/>
    <col min="2" max="2" width="16.140625" style="0" customWidth="1"/>
    <col min="3" max="3" width="20.7109375" style="0" customWidth="1"/>
    <col min="4" max="4" width="28.28125" style="0" customWidth="1"/>
    <col min="5" max="5" width="27.7109375" style="0" customWidth="1"/>
    <col min="6" max="6" width="28.28125" style="0" customWidth="1"/>
    <col min="7" max="7" width="24.7109375" style="0" hidden="1" customWidth="1"/>
    <col min="8" max="8" width="24.8515625" style="0" customWidth="1"/>
    <col min="9" max="9" width="24.140625" style="0" customWidth="1"/>
  </cols>
  <sheetData>
    <row r="1" spans="1:3" ht="17.25">
      <c r="A1" s="219" t="s">
        <v>18</v>
      </c>
      <c r="B1" s="220"/>
      <c r="C1" s="220"/>
    </row>
    <row r="2" ht="17.25">
      <c r="A2" s="38"/>
    </row>
    <row r="3" spans="1:2" ht="15">
      <c r="A3" s="5" t="s">
        <v>7</v>
      </c>
      <c r="B3" s="6">
        <v>10</v>
      </c>
    </row>
    <row r="4" spans="1:2" ht="15.75" thickBot="1">
      <c r="A4" s="5" t="s">
        <v>8</v>
      </c>
      <c r="B4" s="7">
        <v>0.1</v>
      </c>
    </row>
    <row r="5" spans="1:9" ht="64.5" customHeight="1" thickBot="1">
      <c r="A5" s="8" t="s">
        <v>9</v>
      </c>
      <c r="B5" s="9" t="s">
        <v>10</v>
      </c>
      <c r="C5" s="10" t="s">
        <v>11</v>
      </c>
      <c r="D5" s="8" t="s">
        <v>4</v>
      </c>
      <c r="E5" s="11" t="s">
        <v>13</v>
      </c>
      <c r="F5" s="8" t="s">
        <v>16</v>
      </c>
      <c r="G5" s="8" t="s">
        <v>14</v>
      </c>
      <c r="H5" s="11" t="str">
        <f>CONCATENATE("Nutidsværdien ved den interne rente (IRR) ",(ROUND(F59,4)*100)," %")</f>
        <v>Nutidsværdien ved den interne rente (IRR) 10 %</v>
      </c>
      <c r="I5" s="11" t="s">
        <v>12</v>
      </c>
    </row>
    <row r="6" spans="1:9" ht="17.25">
      <c r="A6" s="16">
        <v>0</v>
      </c>
      <c r="B6" s="34">
        <v>0</v>
      </c>
      <c r="C6" s="14">
        <v>2700000</v>
      </c>
      <c r="D6" s="39">
        <f aca="true" t="shared" si="0" ref="D6:D56">B6-C6</f>
        <v>-2700000</v>
      </c>
      <c r="E6" s="44">
        <f aca="true" t="shared" si="1" ref="E6:E56">IF(A6&lt;=$B$3,POWER((1+$B$4),(A6*-1)),"-")</f>
        <v>1</v>
      </c>
      <c r="F6" s="15">
        <f>D6</f>
        <v>-2700000</v>
      </c>
      <c r="G6" s="44">
        <f>IF(A6&lt;=$B$3,POWER((1+$F$59),(A6*-1)),"-")</f>
        <v>1</v>
      </c>
      <c r="H6" s="15">
        <f>F6</f>
        <v>-2700000</v>
      </c>
      <c r="I6" s="16"/>
    </row>
    <row r="7" spans="1:9" ht="17.25">
      <c r="A7" s="12">
        <f aca="true" t="shared" si="2" ref="A7:A56">A6+1</f>
        <v>1</v>
      </c>
      <c r="B7" s="13">
        <v>400000</v>
      </c>
      <c r="C7" s="17">
        <v>0</v>
      </c>
      <c r="D7" s="40">
        <f t="shared" si="0"/>
        <v>400000</v>
      </c>
      <c r="E7" s="42">
        <f t="shared" si="1"/>
        <v>0.9090909090909091</v>
      </c>
      <c r="F7" s="18">
        <f aca="true" t="shared" si="3" ref="F7:F56">PV($B$4,A7,0,D7)*-1</f>
        <v>363636.3636363636</v>
      </c>
      <c r="G7" s="42">
        <f>IF(A7&lt;=$B$3,POWER((1+$F$59),(A7*-1)),"-")</f>
        <v>0.909090909137604</v>
      </c>
      <c r="H7" s="18">
        <f aca="true" t="shared" si="4" ref="H7:H56">PV($F$59,A7,0,D7)*-1</f>
        <v>363636.3636550416</v>
      </c>
      <c r="I7" s="18">
        <f>PMT($B$4,$B$3,$F$57)*-1</f>
        <v>-0.00011733407099161844</v>
      </c>
    </row>
    <row r="8" spans="1:9" ht="17.25">
      <c r="A8" s="12">
        <f t="shared" si="2"/>
        <v>2</v>
      </c>
      <c r="B8" s="13">
        <v>400000</v>
      </c>
      <c r="C8" s="17">
        <v>0</v>
      </c>
      <c r="D8" s="40">
        <f t="shared" si="0"/>
        <v>400000</v>
      </c>
      <c r="E8" s="42">
        <f t="shared" si="1"/>
        <v>0.8264462809917354</v>
      </c>
      <c r="F8" s="18">
        <f t="shared" si="3"/>
        <v>330578.51239669416</v>
      </c>
      <c r="G8" s="42">
        <f aca="true" t="shared" si="5" ref="G8:G56">IF(A8&lt;=$B$3,POWER((1+$F$59),(A8*-1)),"-")</f>
        <v>0.8264462810766355</v>
      </c>
      <c r="H8" s="18">
        <f t="shared" si="4"/>
        <v>330578.51243065426</v>
      </c>
      <c r="I8" s="18">
        <f aca="true" t="shared" si="6" ref="I8:I13">IF(A8&lt;=$B$3,$I$7,0)</f>
        <v>-0.00011733407099161844</v>
      </c>
    </row>
    <row r="9" spans="1:9" ht="17.25">
      <c r="A9" s="12">
        <f t="shared" si="2"/>
        <v>3</v>
      </c>
      <c r="B9" s="13">
        <v>400000</v>
      </c>
      <c r="C9" s="17">
        <v>0</v>
      </c>
      <c r="D9" s="40">
        <f t="shared" si="0"/>
        <v>400000</v>
      </c>
      <c r="E9" s="42">
        <f t="shared" si="1"/>
        <v>0.7513148009015775</v>
      </c>
      <c r="F9" s="18">
        <f t="shared" si="3"/>
        <v>300525.920360631</v>
      </c>
      <c r="G9" s="42">
        <f t="shared" si="5"/>
        <v>0.7513148010173505</v>
      </c>
      <c r="H9" s="18">
        <f t="shared" si="4"/>
        <v>300525.92040694016</v>
      </c>
      <c r="I9" s="18">
        <f t="shared" si="6"/>
        <v>-0.00011733407099161844</v>
      </c>
    </row>
    <row r="10" spans="1:9" ht="17.25">
      <c r="A10" s="12">
        <f t="shared" si="2"/>
        <v>4</v>
      </c>
      <c r="B10" s="13">
        <v>400000</v>
      </c>
      <c r="C10" s="17">
        <v>0</v>
      </c>
      <c r="D10" s="40">
        <f t="shared" si="0"/>
        <v>400000</v>
      </c>
      <c r="E10" s="42">
        <f t="shared" si="1"/>
        <v>0.6830134553650705</v>
      </c>
      <c r="F10" s="18">
        <f t="shared" si="3"/>
        <v>273205.3821460282</v>
      </c>
      <c r="G10" s="42">
        <f t="shared" si="5"/>
        <v>0.6830134555054014</v>
      </c>
      <c r="H10" s="18">
        <f t="shared" si="4"/>
        <v>273205.38220216054</v>
      </c>
      <c r="I10" s="18">
        <f t="shared" si="6"/>
        <v>-0.00011733407099161844</v>
      </c>
    </row>
    <row r="11" spans="1:9" ht="17.25">
      <c r="A11" s="12">
        <f t="shared" si="2"/>
        <v>5</v>
      </c>
      <c r="B11" s="13">
        <v>400000</v>
      </c>
      <c r="C11" s="17">
        <v>0</v>
      </c>
      <c r="D11" s="40">
        <f>(B11-C11)</f>
        <v>400000</v>
      </c>
      <c r="E11" s="42">
        <f t="shared" si="1"/>
        <v>0.6209213230591549</v>
      </c>
      <c r="F11" s="18">
        <f t="shared" si="3"/>
        <v>248368.529223662</v>
      </c>
      <c r="G11" s="42">
        <f t="shared" si="5"/>
        <v>0.6209213232186218</v>
      </c>
      <c r="H11" s="18">
        <f t="shared" si="4"/>
        <v>248368.5292874487</v>
      </c>
      <c r="I11" s="18">
        <f t="shared" si="6"/>
        <v>-0.00011733407099161844</v>
      </c>
    </row>
    <row r="12" spans="1:9" ht="17.25">
      <c r="A12" s="12">
        <f t="shared" si="2"/>
        <v>6</v>
      </c>
      <c r="B12" s="13">
        <v>400000</v>
      </c>
      <c r="C12" s="17">
        <v>0</v>
      </c>
      <c r="D12" s="40">
        <f t="shared" si="0"/>
        <v>400000</v>
      </c>
      <c r="E12" s="42">
        <f t="shared" si="1"/>
        <v>0.5644739300537772</v>
      </c>
      <c r="F12" s="18">
        <f t="shared" si="3"/>
        <v>225789.57202151086</v>
      </c>
      <c r="G12" s="42">
        <f t="shared" si="5"/>
        <v>0.5644739302277411</v>
      </c>
      <c r="H12" s="18">
        <f t="shared" si="4"/>
        <v>225789.57209109643</v>
      </c>
      <c r="I12" s="18">
        <f t="shared" si="6"/>
        <v>-0.00011733407099161844</v>
      </c>
    </row>
    <row r="13" spans="1:9" ht="17.25">
      <c r="A13" s="12">
        <f t="shared" si="2"/>
        <v>7</v>
      </c>
      <c r="B13" s="13">
        <v>400000</v>
      </c>
      <c r="C13" s="17">
        <v>0</v>
      </c>
      <c r="D13" s="40">
        <f t="shared" si="0"/>
        <v>400000</v>
      </c>
      <c r="E13" s="42">
        <f t="shared" si="1"/>
        <v>0.5131581182307065</v>
      </c>
      <c r="F13" s="18">
        <f t="shared" si="3"/>
        <v>205263.24729228258</v>
      </c>
      <c r="G13" s="42">
        <f t="shared" si="5"/>
        <v>0.5131581184152135</v>
      </c>
      <c r="H13" s="18">
        <f t="shared" si="4"/>
        <v>205263.24736608542</v>
      </c>
      <c r="I13" s="18">
        <f t="shared" si="6"/>
        <v>-0.00011733407099161844</v>
      </c>
    </row>
    <row r="14" spans="1:11" ht="17.25">
      <c r="A14" s="12">
        <f t="shared" si="2"/>
        <v>8</v>
      </c>
      <c r="B14" s="13">
        <v>400000</v>
      </c>
      <c r="C14" s="17">
        <v>0</v>
      </c>
      <c r="D14" s="40">
        <f t="shared" si="0"/>
        <v>400000</v>
      </c>
      <c r="E14" s="42">
        <f t="shared" si="1"/>
        <v>0.46650738020973315</v>
      </c>
      <c r="F14" s="18">
        <f t="shared" si="3"/>
        <v>186602.95208389327</v>
      </c>
      <c r="G14" s="42">
        <f t="shared" si="5"/>
        <v>0.4665073804014288</v>
      </c>
      <c r="H14" s="18">
        <f t="shared" si="4"/>
        <v>186602.95216057153</v>
      </c>
      <c r="I14" s="18">
        <f aca="true" t="shared" si="7" ref="I14:I56">IF(A13&lt;=$B$3,$I$7,0)</f>
        <v>-0.00011733407099161844</v>
      </c>
      <c r="K14" s="3"/>
    </row>
    <row r="15" spans="1:9" ht="17.25">
      <c r="A15" s="12">
        <f t="shared" si="2"/>
        <v>9</v>
      </c>
      <c r="B15" s="13">
        <v>400000</v>
      </c>
      <c r="C15" s="17">
        <v>0</v>
      </c>
      <c r="D15" s="40">
        <f t="shared" si="0"/>
        <v>400000</v>
      </c>
      <c r="E15" s="42">
        <f t="shared" si="1"/>
        <v>0.42409761837248466</v>
      </c>
      <c r="F15" s="18">
        <f t="shared" si="3"/>
        <v>169639.04734899386</v>
      </c>
      <c r="G15" s="42">
        <f t="shared" si="5"/>
        <v>0.424097618568537</v>
      </c>
      <c r="H15" s="18">
        <f t="shared" si="4"/>
        <v>169639.0474274148</v>
      </c>
      <c r="I15" s="18">
        <f t="shared" si="7"/>
        <v>-0.00011733407099161844</v>
      </c>
    </row>
    <row r="16" spans="1:9" ht="18" thickBot="1">
      <c r="A16" s="12">
        <f t="shared" si="2"/>
        <v>10</v>
      </c>
      <c r="B16" s="13">
        <f>400000+628134.8</f>
        <v>1028134.8</v>
      </c>
      <c r="C16" s="17">
        <v>0</v>
      </c>
      <c r="D16" s="40">
        <f t="shared" si="0"/>
        <v>1028134.8</v>
      </c>
      <c r="E16" s="42">
        <f t="shared" si="1"/>
        <v>0.3855432894295315</v>
      </c>
      <c r="F16" s="18">
        <f t="shared" si="3"/>
        <v>396390.47276897344</v>
      </c>
      <c r="G16" s="42">
        <f t="shared" si="5"/>
        <v>0.3855432896275642</v>
      </c>
      <c r="H16" s="18">
        <f t="shared" si="4"/>
        <v>396390.4729725778</v>
      </c>
      <c r="I16" s="22">
        <f t="shared" si="7"/>
        <v>-0.00011733407099161844</v>
      </c>
    </row>
    <row r="17" spans="1:9" ht="17.25" hidden="1">
      <c r="A17" s="12">
        <f t="shared" si="2"/>
        <v>11</v>
      </c>
      <c r="B17" s="13">
        <v>0</v>
      </c>
      <c r="C17" s="17">
        <v>0</v>
      </c>
      <c r="D17" s="40">
        <f t="shared" si="0"/>
        <v>0</v>
      </c>
      <c r="E17" s="42" t="str">
        <f t="shared" si="1"/>
        <v>-</v>
      </c>
      <c r="F17" s="18">
        <f t="shared" si="3"/>
        <v>0</v>
      </c>
      <c r="G17" s="42" t="str">
        <f t="shared" si="5"/>
        <v>-</v>
      </c>
      <c r="H17" s="18">
        <f t="shared" si="4"/>
        <v>0</v>
      </c>
      <c r="I17" s="18">
        <f t="shared" si="7"/>
        <v>-0.00011733407099161844</v>
      </c>
    </row>
    <row r="18" spans="1:9" ht="17.25" hidden="1">
      <c r="A18" s="12">
        <f t="shared" si="2"/>
        <v>12</v>
      </c>
      <c r="B18" s="13">
        <v>0</v>
      </c>
      <c r="C18" s="17">
        <v>0</v>
      </c>
      <c r="D18" s="40">
        <f t="shared" si="0"/>
        <v>0</v>
      </c>
      <c r="E18" s="42" t="str">
        <f t="shared" si="1"/>
        <v>-</v>
      </c>
      <c r="F18" s="18">
        <f t="shared" si="3"/>
        <v>0</v>
      </c>
      <c r="G18" s="42" t="str">
        <f t="shared" si="5"/>
        <v>-</v>
      </c>
      <c r="H18" s="18">
        <f t="shared" si="4"/>
        <v>0</v>
      </c>
      <c r="I18" s="18">
        <f t="shared" si="7"/>
        <v>0</v>
      </c>
    </row>
    <row r="19" spans="1:11" ht="17.25" hidden="1">
      <c r="A19" s="12">
        <f t="shared" si="2"/>
        <v>13</v>
      </c>
      <c r="B19" s="13">
        <v>0</v>
      </c>
      <c r="C19" s="17">
        <v>0</v>
      </c>
      <c r="D19" s="40">
        <f t="shared" si="0"/>
        <v>0</v>
      </c>
      <c r="E19" s="42" t="str">
        <f t="shared" si="1"/>
        <v>-</v>
      </c>
      <c r="F19" s="18">
        <f t="shared" si="3"/>
        <v>0</v>
      </c>
      <c r="G19" s="42" t="str">
        <f t="shared" si="5"/>
        <v>-</v>
      </c>
      <c r="H19" s="18">
        <f t="shared" si="4"/>
        <v>0</v>
      </c>
      <c r="I19" s="18">
        <f t="shared" si="7"/>
        <v>0</v>
      </c>
      <c r="K19" s="3"/>
    </row>
    <row r="20" spans="1:9" ht="17.25" hidden="1">
      <c r="A20" s="12">
        <f t="shared" si="2"/>
        <v>14</v>
      </c>
      <c r="B20" s="13">
        <v>0</v>
      </c>
      <c r="C20" s="17">
        <v>0</v>
      </c>
      <c r="D20" s="40">
        <f t="shared" si="0"/>
        <v>0</v>
      </c>
      <c r="E20" s="42" t="str">
        <f t="shared" si="1"/>
        <v>-</v>
      </c>
      <c r="F20" s="18">
        <f t="shared" si="3"/>
        <v>0</v>
      </c>
      <c r="G20" s="42" t="str">
        <f t="shared" si="5"/>
        <v>-</v>
      </c>
      <c r="H20" s="18">
        <f t="shared" si="4"/>
        <v>0</v>
      </c>
      <c r="I20" s="18">
        <f t="shared" si="7"/>
        <v>0</v>
      </c>
    </row>
    <row r="21" spans="1:9" ht="18" hidden="1" thickBot="1">
      <c r="A21" s="19">
        <f t="shared" si="2"/>
        <v>15</v>
      </c>
      <c r="B21" s="20">
        <v>0</v>
      </c>
      <c r="C21" s="21">
        <v>0</v>
      </c>
      <c r="D21" s="41">
        <f t="shared" si="0"/>
        <v>0</v>
      </c>
      <c r="E21" s="45" t="str">
        <f t="shared" si="1"/>
        <v>-</v>
      </c>
      <c r="F21" s="22">
        <f t="shared" si="3"/>
        <v>0</v>
      </c>
      <c r="G21" s="45" t="str">
        <f t="shared" si="5"/>
        <v>-</v>
      </c>
      <c r="H21" s="22">
        <f t="shared" si="4"/>
        <v>0</v>
      </c>
      <c r="I21" s="22">
        <f t="shared" si="7"/>
        <v>0</v>
      </c>
    </row>
    <row r="22" spans="1:9" ht="17.25" hidden="1">
      <c r="A22" s="12">
        <f t="shared" si="2"/>
        <v>16</v>
      </c>
      <c r="B22" s="13">
        <v>0</v>
      </c>
      <c r="C22" s="17">
        <v>0</v>
      </c>
      <c r="D22" s="40">
        <f t="shared" si="0"/>
        <v>0</v>
      </c>
      <c r="E22" s="42" t="str">
        <f t="shared" si="1"/>
        <v>-</v>
      </c>
      <c r="F22" s="18">
        <f t="shared" si="3"/>
        <v>0</v>
      </c>
      <c r="G22" s="42" t="str">
        <f t="shared" si="5"/>
        <v>-</v>
      </c>
      <c r="H22" s="18">
        <f t="shared" si="4"/>
        <v>0</v>
      </c>
      <c r="I22" s="18">
        <f t="shared" si="7"/>
        <v>0</v>
      </c>
    </row>
    <row r="23" spans="1:9" ht="17.25" hidden="1">
      <c r="A23" s="12">
        <f t="shared" si="2"/>
        <v>17</v>
      </c>
      <c r="B23" s="13">
        <v>0</v>
      </c>
      <c r="C23" s="17">
        <v>0</v>
      </c>
      <c r="D23" s="40">
        <f t="shared" si="0"/>
        <v>0</v>
      </c>
      <c r="E23" s="42" t="str">
        <f t="shared" si="1"/>
        <v>-</v>
      </c>
      <c r="F23" s="18">
        <f t="shared" si="3"/>
        <v>0</v>
      </c>
      <c r="G23" s="42" t="str">
        <f t="shared" si="5"/>
        <v>-</v>
      </c>
      <c r="H23" s="18">
        <f t="shared" si="4"/>
        <v>0</v>
      </c>
      <c r="I23" s="18">
        <f t="shared" si="7"/>
        <v>0</v>
      </c>
    </row>
    <row r="24" spans="1:9" ht="17.25" hidden="1">
      <c r="A24" s="12">
        <f t="shared" si="2"/>
        <v>18</v>
      </c>
      <c r="B24" s="13">
        <v>0</v>
      </c>
      <c r="C24" s="17">
        <v>0</v>
      </c>
      <c r="D24" s="40">
        <f t="shared" si="0"/>
        <v>0</v>
      </c>
      <c r="E24" s="42" t="str">
        <f t="shared" si="1"/>
        <v>-</v>
      </c>
      <c r="F24" s="18">
        <f t="shared" si="3"/>
        <v>0</v>
      </c>
      <c r="G24" s="42" t="str">
        <f t="shared" si="5"/>
        <v>-</v>
      </c>
      <c r="H24" s="18">
        <f t="shared" si="4"/>
        <v>0</v>
      </c>
      <c r="I24" s="18">
        <f t="shared" si="7"/>
        <v>0</v>
      </c>
    </row>
    <row r="25" spans="1:9" ht="17.25" hidden="1">
      <c r="A25" s="12">
        <f t="shared" si="2"/>
        <v>19</v>
      </c>
      <c r="B25" s="13">
        <v>0</v>
      </c>
      <c r="C25" s="17">
        <v>0</v>
      </c>
      <c r="D25" s="40">
        <f t="shared" si="0"/>
        <v>0</v>
      </c>
      <c r="E25" s="42" t="str">
        <f t="shared" si="1"/>
        <v>-</v>
      </c>
      <c r="F25" s="18">
        <f t="shared" si="3"/>
        <v>0</v>
      </c>
      <c r="G25" s="42" t="str">
        <f t="shared" si="5"/>
        <v>-</v>
      </c>
      <c r="H25" s="18">
        <f t="shared" si="4"/>
        <v>0</v>
      </c>
      <c r="I25" s="18">
        <f t="shared" si="7"/>
        <v>0</v>
      </c>
    </row>
    <row r="26" spans="1:9" ht="17.25" hidden="1">
      <c r="A26" s="12">
        <f t="shared" si="2"/>
        <v>20</v>
      </c>
      <c r="B26" s="13">
        <v>0</v>
      </c>
      <c r="C26" s="17">
        <v>0</v>
      </c>
      <c r="D26" s="40">
        <f t="shared" si="0"/>
        <v>0</v>
      </c>
      <c r="E26" s="42" t="str">
        <f t="shared" si="1"/>
        <v>-</v>
      </c>
      <c r="F26" s="18">
        <f t="shared" si="3"/>
        <v>0</v>
      </c>
      <c r="G26" s="42" t="str">
        <f t="shared" si="5"/>
        <v>-</v>
      </c>
      <c r="H26" s="18">
        <f t="shared" si="4"/>
        <v>0</v>
      </c>
      <c r="I26" s="18">
        <f t="shared" si="7"/>
        <v>0</v>
      </c>
    </row>
    <row r="27" spans="1:9" ht="17.25" hidden="1">
      <c r="A27" s="12">
        <f t="shared" si="2"/>
        <v>21</v>
      </c>
      <c r="B27" s="13">
        <v>0</v>
      </c>
      <c r="C27" s="17">
        <v>0</v>
      </c>
      <c r="D27" s="40">
        <f t="shared" si="0"/>
        <v>0</v>
      </c>
      <c r="E27" s="42" t="str">
        <f t="shared" si="1"/>
        <v>-</v>
      </c>
      <c r="F27" s="18">
        <f t="shared" si="3"/>
        <v>0</v>
      </c>
      <c r="G27" s="42" t="str">
        <f t="shared" si="5"/>
        <v>-</v>
      </c>
      <c r="H27" s="18">
        <f t="shared" si="4"/>
        <v>0</v>
      </c>
      <c r="I27" s="18">
        <f t="shared" si="7"/>
        <v>0</v>
      </c>
    </row>
    <row r="28" spans="1:9" ht="17.25" hidden="1">
      <c r="A28" s="12">
        <f t="shared" si="2"/>
        <v>22</v>
      </c>
      <c r="B28" s="13">
        <v>0</v>
      </c>
      <c r="C28" s="17">
        <v>0</v>
      </c>
      <c r="D28" s="40">
        <f t="shared" si="0"/>
        <v>0</v>
      </c>
      <c r="E28" s="42" t="str">
        <f t="shared" si="1"/>
        <v>-</v>
      </c>
      <c r="F28" s="18">
        <f t="shared" si="3"/>
        <v>0</v>
      </c>
      <c r="G28" s="42" t="str">
        <f t="shared" si="5"/>
        <v>-</v>
      </c>
      <c r="H28" s="18">
        <f t="shared" si="4"/>
        <v>0</v>
      </c>
      <c r="I28" s="18">
        <f t="shared" si="7"/>
        <v>0</v>
      </c>
    </row>
    <row r="29" spans="1:9" ht="17.25" hidden="1">
      <c r="A29" s="12">
        <f t="shared" si="2"/>
        <v>23</v>
      </c>
      <c r="B29" s="13">
        <v>0</v>
      </c>
      <c r="C29" s="17">
        <v>0</v>
      </c>
      <c r="D29" s="40">
        <f t="shared" si="0"/>
        <v>0</v>
      </c>
      <c r="E29" s="42" t="str">
        <f t="shared" si="1"/>
        <v>-</v>
      </c>
      <c r="F29" s="18">
        <f t="shared" si="3"/>
        <v>0</v>
      </c>
      <c r="G29" s="42" t="str">
        <f t="shared" si="5"/>
        <v>-</v>
      </c>
      <c r="H29" s="18">
        <f t="shared" si="4"/>
        <v>0</v>
      </c>
      <c r="I29" s="18">
        <f t="shared" si="7"/>
        <v>0</v>
      </c>
    </row>
    <row r="30" spans="1:9" ht="17.25" hidden="1">
      <c r="A30" s="12">
        <f t="shared" si="2"/>
        <v>24</v>
      </c>
      <c r="B30" s="13">
        <v>0</v>
      </c>
      <c r="C30" s="17">
        <v>0</v>
      </c>
      <c r="D30" s="40">
        <f t="shared" si="0"/>
        <v>0</v>
      </c>
      <c r="E30" s="42" t="str">
        <f t="shared" si="1"/>
        <v>-</v>
      </c>
      <c r="F30" s="18">
        <f t="shared" si="3"/>
        <v>0</v>
      </c>
      <c r="G30" s="42" t="str">
        <f t="shared" si="5"/>
        <v>-</v>
      </c>
      <c r="H30" s="18">
        <f t="shared" si="4"/>
        <v>0</v>
      </c>
      <c r="I30" s="18">
        <f t="shared" si="7"/>
        <v>0</v>
      </c>
    </row>
    <row r="31" spans="1:9" ht="17.25" hidden="1">
      <c r="A31" s="12">
        <f t="shared" si="2"/>
        <v>25</v>
      </c>
      <c r="B31" s="13">
        <v>0</v>
      </c>
      <c r="C31" s="17">
        <v>0</v>
      </c>
      <c r="D31" s="40">
        <f t="shared" si="0"/>
        <v>0</v>
      </c>
      <c r="E31" s="42" t="str">
        <f t="shared" si="1"/>
        <v>-</v>
      </c>
      <c r="F31" s="18">
        <f t="shared" si="3"/>
        <v>0</v>
      </c>
      <c r="G31" s="42" t="str">
        <f t="shared" si="5"/>
        <v>-</v>
      </c>
      <c r="H31" s="18">
        <f t="shared" si="4"/>
        <v>0</v>
      </c>
      <c r="I31" s="18">
        <f t="shared" si="7"/>
        <v>0</v>
      </c>
    </row>
    <row r="32" spans="1:9" ht="17.25" hidden="1">
      <c r="A32" s="12">
        <f t="shared" si="2"/>
        <v>26</v>
      </c>
      <c r="B32" s="13">
        <v>0</v>
      </c>
      <c r="C32" s="17">
        <v>0</v>
      </c>
      <c r="D32" s="40">
        <f t="shared" si="0"/>
        <v>0</v>
      </c>
      <c r="E32" s="42" t="str">
        <f t="shared" si="1"/>
        <v>-</v>
      </c>
      <c r="F32" s="18">
        <f t="shared" si="3"/>
        <v>0</v>
      </c>
      <c r="G32" s="42" t="str">
        <f t="shared" si="5"/>
        <v>-</v>
      </c>
      <c r="H32" s="18">
        <f t="shared" si="4"/>
        <v>0</v>
      </c>
      <c r="I32" s="18">
        <f t="shared" si="7"/>
        <v>0</v>
      </c>
    </row>
    <row r="33" spans="1:9" ht="17.25" hidden="1">
      <c r="A33" s="12">
        <f t="shared" si="2"/>
        <v>27</v>
      </c>
      <c r="B33" s="13">
        <v>0</v>
      </c>
      <c r="C33" s="17">
        <v>0</v>
      </c>
      <c r="D33" s="40">
        <f t="shared" si="0"/>
        <v>0</v>
      </c>
      <c r="E33" s="42" t="str">
        <f t="shared" si="1"/>
        <v>-</v>
      </c>
      <c r="F33" s="18">
        <f t="shared" si="3"/>
        <v>0</v>
      </c>
      <c r="G33" s="42" t="str">
        <f t="shared" si="5"/>
        <v>-</v>
      </c>
      <c r="H33" s="18">
        <f t="shared" si="4"/>
        <v>0</v>
      </c>
      <c r="I33" s="18">
        <f t="shared" si="7"/>
        <v>0</v>
      </c>
    </row>
    <row r="34" spans="1:9" ht="17.25" hidden="1">
      <c r="A34" s="12">
        <f t="shared" si="2"/>
        <v>28</v>
      </c>
      <c r="B34" s="13">
        <v>0</v>
      </c>
      <c r="C34" s="17">
        <v>0</v>
      </c>
      <c r="D34" s="40">
        <f t="shared" si="0"/>
        <v>0</v>
      </c>
      <c r="E34" s="42" t="str">
        <f t="shared" si="1"/>
        <v>-</v>
      </c>
      <c r="F34" s="18">
        <f t="shared" si="3"/>
        <v>0</v>
      </c>
      <c r="G34" s="42" t="str">
        <f t="shared" si="5"/>
        <v>-</v>
      </c>
      <c r="H34" s="18">
        <f t="shared" si="4"/>
        <v>0</v>
      </c>
      <c r="I34" s="18">
        <f t="shared" si="7"/>
        <v>0</v>
      </c>
    </row>
    <row r="35" spans="1:9" ht="17.25" hidden="1">
      <c r="A35" s="12">
        <f t="shared" si="2"/>
        <v>29</v>
      </c>
      <c r="B35" s="13">
        <v>0</v>
      </c>
      <c r="C35" s="17">
        <v>0</v>
      </c>
      <c r="D35" s="40">
        <f t="shared" si="0"/>
        <v>0</v>
      </c>
      <c r="E35" s="42" t="str">
        <f t="shared" si="1"/>
        <v>-</v>
      </c>
      <c r="F35" s="18">
        <f t="shared" si="3"/>
        <v>0</v>
      </c>
      <c r="G35" s="42" t="str">
        <f t="shared" si="5"/>
        <v>-</v>
      </c>
      <c r="H35" s="18">
        <f t="shared" si="4"/>
        <v>0</v>
      </c>
      <c r="I35" s="18">
        <f t="shared" si="7"/>
        <v>0</v>
      </c>
    </row>
    <row r="36" spans="1:9" ht="17.25" hidden="1">
      <c r="A36" s="12">
        <f t="shared" si="2"/>
        <v>30</v>
      </c>
      <c r="B36" s="13">
        <v>0</v>
      </c>
      <c r="C36" s="17">
        <v>0</v>
      </c>
      <c r="D36" s="40">
        <f t="shared" si="0"/>
        <v>0</v>
      </c>
      <c r="E36" s="42" t="str">
        <f t="shared" si="1"/>
        <v>-</v>
      </c>
      <c r="F36" s="18">
        <f t="shared" si="3"/>
        <v>0</v>
      </c>
      <c r="G36" s="42" t="str">
        <f t="shared" si="5"/>
        <v>-</v>
      </c>
      <c r="H36" s="18">
        <f t="shared" si="4"/>
        <v>0</v>
      </c>
      <c r="I36" s="18">
        <f t="shared" si="7"/>
        <v>0</v>
      </c>
    </row>
    <row r="37" spans="1:9" ht="17.25" hidden="1">
      <c r="A37" s="12">
        <f t="shared" si="2"/>
        <v>31</v>
      </c>
      <c r="B37" s="13">
        <v>0</v>
      </c>
      <c r="C37" s="17">
        <v>0</v>
      </c>
      <c r="D37" s="40">
        <f t="shared" si="0"/>
        <v>0</v>
      </c>
      <c r="E37" s="42" t="str">
        <f t="shared" si="1"/>
        <v>-</v>
      </c>
      <c r="F37" s="18">
        <f t="shared" si="3"/>
        <v>0</v>
      </c>
      <c r="G37" s="42" t="str">
        <f t="shared" si="5"/>
        <v>-</v>
      </c>
      <c r="H37" s="18">
        <f t="shared" si="4"/>
        <v>0</v>
      </c>
      <c r="I37" s="18">
        <f t="shared" si="7"/>
        <v>0</v>
      </c>
    </row>
    <row r="38" spans="1:9" ht="17.25" hidden="1">
      <c r="A38" s="12">
        <f t="shared" si="2"/>
        <v>32</v>
      </c>
      <c r="B38" s="13">
        <v>0</v>
      </c>
      <c r="C38" s="17">
        <v>0</v>
      </c>
      <c r="D38" s="40">
        <f t="shared" si="0"/>
        <v>0</v>
      </c>
      <c r="E38" s="42" t="str">
        <f t="shared" si="1"/>
        <v>-</v>
      </c>
      <c r="F38" s="18">
        <f t="shared" si="3"/>
        <v>0</v>
      </c>
      <c r="G38" s="42" t="str">
        <f t="shared" si="5"/>
        <v>-</v>
      </c>
      <c r="H38" s="18">
        <f t="shared" si="4"/>
        <v>0</v>
      </c>
      <c r="I38" s="18">
        <f t="shared" si="7"/>
        <v>0</v>
      </c>
    </row>
    <row r="39" spans="1:9" ht="17.25" hidden="1">
      <c r="A39" s="12">
        <f t="shared" si="2"/>
        <v>33</v>
      </c>
      <c r="B39" s="13">
        <v>0</v>
      </c>
      <c r="C39" s="17">
        <v>0</v>
      </c>
      <c r="D39" s="40">
        <f t="shared" si="0"/>
        <v>0</v>
      </c>
      <c r="E39" s="42" t="str">
        <f t="shared" si="1"/>
        <v>-</v>
      </c>
      <c r="F39" s="18">
        <f t="shared" si="3"/>
        <v>0</v>
      </c>
      <c r="G39" s="42" t="str">
        <f t="shared" si="5"/>
        <v>-</v>
      </c>
      <c r="H39" s="18">
        <f t="shared" si="4"/>
        <v>0</v>
      </c>
      <c r="I39" s="18">
        <f t="shared" si="7"/>
        <v>0</v>
      </c>
    </row>
    <row r="40" spans="1:9" ht="17.25" hidden="1">
      <c r="A40" s="12">
        <f t="shared" si="2"/>
        <v>34</v>
      </c>
      <c r="B40" s="13">
        <v>0</v>
      </c>
      <c r="C40" s="17">
        <v>0</v>
      </c>
      <c r="D40" s="40">
        <f t="shared" si="0"/>
        <v>0</v>
      </c>
      <c r="E40" s="42" t="str">
        <f t="shared" si="1"/>
        <v>-</v>
      </c>
      <c r="F40" s="18">
        <f t="shared" si="3"/>
        <v>0</v>
      </c>
      <c r="G40" s="42" t="str">
        <f t="shared" si="5"/>
        <v>-</v>
      </c>
      <c r="H40" s="18">
        <f t="shared" si="4"/>
        <v>0</v>
      </c>
      <c r="I40" s="18">
        <f t="shared" si="7"/>
        <v>0</v>
      </c>
    </row>
    <row r="41" spans="1:9" ht="17.25" hidden="1">
      <c r="A41" s="12">
        <f t="shared" si="2"/>
        <v>35</v>
      </c>
      <c r="B41" s="13">
        <v>0</v>
      </c>
      <c r="C41" s="17">
        <v>0</v>
      </c>
      <c r="D41" s="40">
        <f t="shared" si="0"/>
        <v>0</v>
      </c>
      <c r="E41" s="42" t="str">
        <f t="shared" si="1"/>
        <v>-</v>
      </c>
      <c r="F41" s="18">
        <f t="shared" si="3"/>
        <v>0</v>
      </c>
      <c r="G41" s="42" t="str">
        <f t="shared" si="5"/>
        <v>-</v>
      </c>
      <c r="H41" s="18">
        <f t="shared" si="4"/>
        <v>0</v>
      </c>
      <c r="I41" s="18">
        <f t="shared" si="7"/>
        <v>0</v>
      </c>
    </row>
    <row r="42" spans="1:9" ht="17.25" hidden="1">
      <c r="A42" s="12">
        <f t="shared" si="2"/>
        <v>36</v>
      </c>
      <c r="B42" s="13">
        <v>0</v>
      </c>
      <c r="C42" s="17">
        <v>0</v>
      </c>
      <c r="D42" s="40">
        <f t="shared" si="0"/>
        <v>0</v>
      </c>
      <c r="E42" s="42" t="str">
        <f t="shared" si="1"/>
        <v>-</v>
      </c>
      <c r="F42" s="18">
        <f t="shared" si="3"/>
        <v>0</v>
      </c>
      <c r="G42" s="42" t="str">
        <f t="shared" si="5"/>
        <v>-</v>
      </c>
      <c r="H42" s="18">
        <f t="shared" si="4"/>
        <v>0</v>
      </c>
      <c r="I42" s="18">
        <f t="shared" si="7"/>
        <v>0</v>
      </c>
    </row>
    <row r="43" spans="1:9" ht="17.25" hidden="1">
      <c r="A43" s="12">
        <f t="shared" si="2"/>
        <v>37</v>
      </c>
      <c r="B43" s="13">
        <v>0</v>
      </c>
      <c r="C43" s="17">
        <v>0</v>
      </c>
      <c r="D43" s="40">
        <f t="shared" si="0"/>
        <v>0</v>
      </c>
      <c r="E43" s="42" t="str">
        <f t="shared" si="1"/>
        <v>-</v>
      </c>
      <c r="F43" s="18">
        <f t="shared" si="3"/>
        <v>0</v>
      </c>
      <c r="G43" s="42" t="str">
        <f t="shared" si="5"/>
        <v>-</v>
      </c>
      <c r="H43" s="18">
        <f t="shared" si="4"/>
        <v>0</v>
      </c>
      <c r="I43" s="18">
        <f t="shared" si="7"/>
        <v>0</v>
      </c>
    </row>
    <row r="44" spans="1:9" ht="17.25" hidden="1">
      <c r="A44" s="12">
        <f t="shared" si="2"/>
        <v>38</v>
      </c>
      <c r="B44" s="13">
        <v>0</v>
      </c>
      <c r="C44" s="17">
        <v>0</v>
      </c>
      <c r="D44" s="40">
        <f t="shared" si="0"/>
        <v>0</v>
      </c>
      <c r="E44" s="42" t="str">
        <f t="shared" si="1"/>
        <v>-</v>
      </c>
      <c r="F44" s="18">
        <f t="shared" si="3"/>
        <v>0</v>
      </c>
      <c r="G44" s="42" t="str">
        <f t="shared" si="5"/>
        <v>-</v>
      </c>
      <c r="H44" s="18">
        <f t="shared" si="4"/>
        <v>0</v>
      </c>
      <c r="I44" s="18">
        <f t="shared" si="7"/>
        <v>0</v>
      </c>
    </row>
    <row r="45" spans="1:9" ht="17.25" hidden="1">
      <c r="A45" s="12">
        <f t="shared" si="2"/>
        <v>39</v>
      </c>
      <c r="B45" s="13">
        <v>0</v>
      </c>
      <c r="C45" s="17">
        <v>0</v>
      </c>
      <c r="D45" s="40">
        <f t="shared" si="0"/>
        <v>0</v>
      </c>
      <c r="E45" s="42" t="str">
        <f t="shared" si="1"/>
        <v>-</v>
      </c>
      <c r="F45" s="18">
        <f t="shared" si="3"/>
        <v>0</v>
      </c>
      <c r="G45" s="42" t="str">
        <f t="shared" si="5"/>
        <v>-</v>
      </c>
      <c r="H45" s="18">
        <f t="shared" si="4"/>
        <v>0</v>
      </c>
      <c r="I45" s="18">
        <f t="shared" si="7"/>
        <v>0</v>
      </c>
    </row>
    <row r="46" spans="1:9" ht="17.25" hidden="1">
      <c r="A46" s="12">
        <f t="shared" si="2"/>
        <v>40</v>
      </c>
      <c r="B46" s="13">
        <v>0</v>
      </c>
      <c r="C46" s="17">
        <v>0</v>
      </c>
      <c r="D46" s="40">
        <f t="shared" si="0"/>
        <v>0</v>
      </c>
      <c r="E46" s="42" t="str">
        <f t="shared" si="1"/>
        <v>-</v>
      </c>
      <c r="F46" s="18">
        <f t="shared" si="3"/>
        <v>0</v>
      </c>
      <c r="G46" s="42" t="str">
        <f t="shared" si="5"/>
        <v>-</v>
      </c>
      <c r="H46" s="18">
        <f t="shared" si="4"/>
        <v>0</v>
      </c>
      <c r="I46" s="18">
        <f t="shared" si="7"/>
        <v>0</v>
      </c>
    </row>
    <row r="47" spans="1:9" ht="17.25" hidden="1">
      <c r="A47" s="12">
        <f t="shared" si="2"/>
        <v>41</v>
      </c>
      <c r="B47" s="13">
        <v>0</v>
      </c>
      <c r="C47" s="17">
        <v>0</v>
      </c>
      <c r="D47" s="40">
        <f t="shared" si="0"/>
        <v>0</v>
      </c>
      <c r="E47" s="42" t="str">
        <f t="shared" si="1"/>
        <v>-</v>
      </c>
      <c r="F47" s="18">
        <f t="shared" si="3"/>
        <v>0</v>
      </c>
      <c r="G47" s="42" t="str">
        <f t="shared" si="5"/>
        <v>-</v>
      </c>
      <c r="H47" s="18">
        <f t="shared" si="4"/>
        <v>0</v>
      </c>
      <c r="I47" s="18">
        <f t="shared" si="7"/>
        <v>0</v>
      </c>
    </row>
    <row r="48" spans="1:9" ht="17.25" hidden="1">
      <c r="A48" s="12">
        <f t="shared" si="2"/>
        <v>42</v>
      </c>
      <c r="B48" s="13">
        <v>0</v>
      </c>
      <c r="C48" s="17">
        <v>0</v>
      </c>
      <c r="D48" s="40">
        <f t="shared" si="0"/>
        <v>0</v>
      </c>
      <c r="E48" s="42" t="str">
        <f t="shared" si="1"/>
        <v>-</v>
      </c>
      <c r="F48" s="18">
        <f t="shared" si="3"/>
        <v>0</v>
      </c>
      <c r="G48" s="42" t="str">
        <f t="shared" si="5"/>
        <v>-</v>
      </c>
      <c r="H48" s="18">
        <f t="shared" si="4"/>
        <v>0</v>
      </c>
      <c r="I48" s="18">
        <f t="shared" si="7"/>
        <v>0</v>
      </c>
    </row>
    <row r="49" spans="1:9" ht="17.25" hidden="1">
      <c r="A49" s="12">
        <f t="shared" si="2"/>
        <v>43</v>
      </c>
      <c r="B49" s="13">
        <v>0</v>
      </c>
      <c r="C49" s="17">
        <v>0</v>
      </c>
      <c r="D49" s="40">
        <f t="shared" si="0"/>
        <v>0</v>
      </c>
      <c r="E49" s="42" t="str">
        <f t="shared" si="1"/>
        <v>-</v>
      </c>
      <c r="F49" s="18">
        <f t="shared" si="3"/>
        <v>0</v>
      </c>
      <c r="G49" s="42" t="str">
        <f t="shared" si="5"/>
        <v>-</v>
      </c>
      <c r="H49" s="18">
        <f t="shared" si="4"/>
        <v>0</v>
      </c>
      <c r="I49" s="18">
        <f t="shared" si="7"/>
        <v>0</v>
      </c>
    </row>
    <row r="50" spans="1:9" ht="17.25" hidden="1">
      <c r="A50" s="12">
        <f t="shared" si="2"/>
        <v>44</v>
      </c>
      <c r="B50" s="13">
        <v>0</v>
      </c>
      <c r="C50" s="17">
        <v>0</v>
      </c>
      <c r="D50" s="40">
        <f t="shared" si="0"/>
        <v>0</v>
      </c>
      <c r="E50" s="42" t="str">
        <f t="shared" si="1"/>
        <v>-</v>
      </c>
      <c r="F50" s="18">
        <f t="shared" si="3"/>
        <v>0</v>
      </c>
      <c r="G50" s="42" t="str">
        <f t="shared" si="5"/>
        <v>-</v>
      </c>
      <c r="H50" s="18">
        <f t="shared" si="4"/>
        <v>0</v>
      </c>
      <c r="I50" s="18">
        <f t="shared" si="7"/>
        <v>0</v>
      </c>
    </row>
    <row r="51" spans="1:9" ht="17.25" hidden="1">
      <c r="A51" s="12">
        <f t="shared" si="2"/>
        <v>45</v>
      </c>
      <c r="B51" s="13">
        <v>0</v>
      </c>
      <c r="C51" s="17">
        <v>0</v>
      </c>
      <c r="D51" s="40">
        <f t="shared" si="0"/>
        <v>0</v>
      </c>
      <c r="E51" s="42" t="str">
        <f t="shared" si="1"/>
        <v>-</v>
      </c>
      <c r="F51" s="18">
        <f t="shared" si="3"/>
        <v>0</v>
      </c>
      <c r="G51" s="42" t="str">
        <f t="shared" si="5"/>
        <v>-</v>
      </c>
      <c r="H51" s="18">
        <f t="shared" si="4"/>
        <v>0</v>
      </c>
      <c r="I51" s="18">
        <f t="shared" si="7"/>
        <v>0</v>
      </c>
    </row>
    <row r="52" spans="1:9" ht="17.25" hidden="1">
      <c r="A52" s="12">
        <f t="shared" si="2"/>
        <v>46</v>
      </c>
      <c r="B52" s="13">
        <v>0</v>
      </c>
      <c r="C52" s="17">
        <v>0</v>
      </c>
      <c r="D52" s="40">
        <f t="shared" si="0"/>
        <v>0</v>
      </c>
      <c r="E52" s="42" t="str">
        <f t="shared" si="1"/>
        <v>-</v>
      </c>
      <c r="F52" s="18">
        <f t="shared" si="3"/>
        <v>0</v>
      </c>
      <c r="G52" s="42" t="str">
        <f t="shared" si="5"/>
        <v>-</v>
      </c>
      <c r="H52" s="18">
        <f t="shared" si="4"/>
        <v>0</v>
      </c>
      <c r="I52" s="18">
        <f t="shared" si="7"/>
        <v>0</v>
      </c>
    </row>
    <row r="53" spans="1:9" ht="17.25" hidden="1">
      <c r="A53" s="12">
        <f t="shared" si="2"/>
        <v>47</v>
      </c>
      <c r="B53" s="13">
        <v>0</v>
      </c>
      <c r="C53" s="17">
        <v>0</v>
      </c>
      <c r="D53" s="40">
        <f t="shared" si="0"/>
        <v>0</v>
      </c>
      <c r="E53" s="42" t="str">
        <f t="shared" si="1"/>
        <v>-</v>
      </c>
      <c r="F53" s="18">
        <f t="shared" si="3"/>
        <v>0</v>
      </c>
      <c r="G53" s="42" t="str">
        <f t="shared" si="5"/>
        <v>-</v>
      </c>
      <c r="H53" s="18">
        <f t="shared" si="4"/>
        <v>0</v>
      </c>
      <c r="I53" s="18">
        <f t="shared" si="7"/>
        <v>0</v>
      </c>
    </row>
    <row r="54" spans="1:9" ht="17.25" hidden="1">
      <c r="A54" s="12">
        <f t="shared" si="2"/>
        <v>48</v>
      </c>
      <c r="B54" s="13">
        <v>0</v>
      </c>
      <c r="C54" s="17">
        <v>0</v>
      </c>
      <c r="D54" s="40">
        <f t="shared" si="0"/>
        <v>0</v>
      </c>
      <c r="E54" s="42" t="str">
        <f t="shared" si="1"/>
        <v>-</v>
      </c>
      <c r="F54" s="18">
        <f t="shared" si="3"/>
        <v>0</v>
      </c>
      <c r="G54" s="42" t="str">
        <f t="shared" si="5"/>
        <v>-</v>
      </c>
      <c r="H54" s="18">
        <f t="shared" si="4"/>
        <v>0</v>
      </c>
      <c r="I54" s="18">
        <f t="shared" si="7"/>
        <v>0</v>
      </c>
    </row>
    <row r="55" spans="1:9" ht="17.25" hidden="1">
      <c r="A55" s="12">
        <f t="shared" si="2"/>
        <v>49</v>
      </c>
      <c r="B55" s="13">
        <v>0</v>
      </c>
      <c r="C55" s="17">
        <v>0</v>
      </c>
      <c r="D55" s="40">
        <f t="shared" si="0"/>
        <v>0</v>
      </c>
      <c r="E55" s="42" t="str">
        <f t="shared" si="1"/>
        <v>-</v>
      </c>
      <c r="F55" s="18">
        <f t="shared" si="3"/>
        <v>0</v>
      </c>
      <c r="G55" s="42" t="str">
        <f t="shared" si="5"/>
        <v>-</v>
      </c>
      <c r="H55" s="18">
        <f t="shared" si="4"/>
        <v>0</v>
      </c>
      <c r="I55" s="18">
        <f t="shared" si="7"/>
        <v>0</v>
      </c>
    </row>
    <row r="56" spans="1:9" ht="18" hidden="1" thickBot="1">
      <c r="A56" s="19">
        <f t="shared" si="2"/>
        <v>50</v>
      </c>
      <c r="B56" s="20">
        <v>0</v>
      </c>
      <c r="C56" s="21">
        <v>0</v>
      </c>
      <c r="D56" s="41">
        <f t="shared" si="0"/>
        <v>0</v>
      </c>
      <c r="E56" s="45" t="str">
        <f t="shared" si="1"/>
        <v>-</v>
      </c>
      <c r="F56" s="22">
        <f t="shared" si="3"/>
        <v>0</v>
      </c>
      <c r="G56" s="45" t="str">
        <f t="shared" si="5"/>
        <v>-</v>
      </c>
      <c r="H56" s="22">
        <f t="shared" si="4"/>
        <v>0</v>
      </c>
      <c r="I56" s="22">
        <f t="shared" si="7"/>
        <v>0</v>
      </c>
    </row>
    <row r="57" spans="1:9" ht="18" thickBot="1">
      <c r="A57" s="28" t="s">
        <v>0</v>
      </c>
      <c r="B57" s="32"/>
      <c r="C57" s="32"/>
      <c r="D57" s="32"/>
      <c r="E57" s="32"/>
      <c r="F57" s="47">
        <f>SUM(F6:F56)</f>
        <v>-0.0007209670729935169</v>
      </c>
      <c r="G57" s="43"/>
      <c r="H57" s="48">
        <f>SUM(H6:H56)</f>
        <v>-8.847564458847046E-09</v>
      </c>
      <c r="I57" s="4"/>
    </row>
    <row r="58" spans="1:9" ht="18" thickBot="1">
      <c r="A58" s="27" t="s">
        <v>17</v>
      </c>
      <c r="B58" s="30"/>
      <c r="C58" s="30"/>
      <c r="D58" s="30"/>
      <c r="E58" s="30"/>
      <c r="F58" s="31">
        <f>I7</f>
        <v>-0.00011733407099161844</v>
      </c>
      <c r="G58" s="35"/>
      <c r="H58" s="35"/>
      <c r="I58" s="4"/>
    </row>
    <row r="59" spans="1:9" ht="18" thickBot="1">
      <c r="A59" s="29" t="s">
        <v>1</v>
      </c>
      <c r="B59" s="23"/>
      <c r="C59" s="23"/>
      <c r="D59" s="23"/>
      <c r="E59" s="23"/>
      <c r="F59" s="24">
        <f>IRR(D6:D56)</f>
        <v>0.0999999999434991</v>
      </c>
      <c r="G59" s="36"/>
      <c r="H59" s="36"/>
      <c r="I59" s="4"/>
    </row>
    <row r="60" spans="1:9" ht="18" thickBot="1">
      <c r="A60" s="28" t="s">
        <v>2</v>
      </c>
      <c r="B60" s="32"/>
      <c r="C60" s="32"/>
      <c r="D60" s="32"/>
      <c r="E60" s="32"/>
      <c r="F60" s="33">
        <f>NPER(B4,F62,F6,0)</f>
        <v>10.000000004465093</v>
      </c>
      <c r="G60" s="37"/>
      <c r="H60" s="37"/>
      <c r="I60" s="4"/>
    </row>
    <row r="61" spans="1:8" ht="12.75" hidden="1">
      <c r="A61" s="25" t="s">
        <v>5</v>
      </c>
      <c r="F61" s="26">
        <f>SUM(F7:F56)</f>
        <v>2699999.999279033</v>
      </c>
      <c r="G61" s="26"/>
      <c r="H61" s="26"/>
    </row>
    <row r="62" spans="1:8" ht="12.75" hidden="1">
      <c r="A62" s="25" t="s">
        <v>6</v>
      </c>
      <c r="F62" s="1">
        <f>PMT(B4,B3,F61,0)*-1</f>
        <v>439412.56606544706</v>
      </c>
      <c r="G62" s="1"/>
      <c r="H62" s="1"/>
    </row>
    <row r="64" ht="17.25">
      <c r="A64" s="46" t="s">
        <v>23</v>
      </c>
    </row>
    <row r="65" spans="1:6" ht="78" customHeight="1">
      <c r="A65" s="221" t="s">
        <v>24</v>
      </c>
      <c r="B65" s="221"/>
      <c r="C65" s="221"/>
      <c r="D65" s="221"/>
      <c r="E65" s="221"/>
      <c r="F65" s="221"/>
    </row>
    <row r="66" spans="1:6" ht="12.75">
      <c r="A66" s="2"/>
      <c r="B66" s="2"/>
      <c r="F66" s="50"/>
    </row>
    <row r="67" spans="1:6" ht="12.75">
      <c r="A67" s="2"/>
      <c r="B67" s="2"/>
      <c r="F67" s="49"/>
    </row>
    <row r="68" ht="12.75">
      <c r="F68" s="49"/>
    </row>
  </sheetData>
  <sheetProtection/>
  <mergeCells count="2">
    <mergeCell ref="A1:C1"/>
    <mergeCell ref="A65:F65"/>
  </mergeCells>
  <printOptions/>
  <pageMargins left="0.7874015748031497" right="0.3937007874015748" top="0.984251968503937" bottom="0.984251968503937" header="0" footer="0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="125" zoomScaleNormal="125" zoomScalePageLayoutView="0" workbookViewId="0" topLeftCell="A8">
      <selection activeCell="B35" sqref="B35"/>
    </sheetView>
  </sheetViews>
  <sheetFormatPr defaultColWidth="9.140625" defaultRowHeight="12.75"/>
  <cols>
    <col min="1" max="1" width="25.00390625" style="0" customWidth="1"/>
    <col min="2" max="2" width="15.7109375" style="0" customWidth="1"/>
    <col min="3" max="3" width="8.140625" style="0" customWidth="1"/>
    <col min="4" max="4" width="9.28125" style="0" customWidth="1"/>
    <col min="5" max="5" width="16.28125" style="0" customWidth="1"/>
  </cols>
  <sheetData>
    <row r="1" spans="1:5" ht="24" thickBot="1">
      <c r="A1" s="222" t="str">
        <f>CONCATENATE("Resultatbudget for"," ",B2+1)</f>
        <v>Resultatbudget for 2010</v>
      </c>
      <c r="B1" s="222"/>
      <c r="C1" s="222"/>
      <c r="D1" s="222"/>
      <c r="E1" s="223"/>
    </row>
    <row r="2" spans="1:5" ht="25.5">
      <c r="A2" s="52"/>
      <c r="B2" s="53">
        <v>2009</v>
      </c>
      <c r="C2" s="54" t="s">
        <v>26</v>
      </c>
      <c r="D2" s="55" t="s">
        <v>27</v>
      </c>
      <c r="E2" s="56" t="str">
        <f>CONCATENATE("Budget",B2+1)</f>
        <v>Budget2010</v>
      </c>
    </row>
    <row r="3" spans="1:5" ht="12.75">
      <c r="A3" s="57" t="s">
        <v>28</v>
      </c>
      <c r="B3" s="58">
        <v>30000</v>
      </c>
      <c r="C3" s="59">
        <v>1.1</v>
      </c>
      <c r="D3" s="59">
        <v>0.97</v>
      </c>
      <c r="E3" s="60">
        <f>B3*C3*D3</f>
        <v>32010</v>
      </c>
    </row>
    <row r="4" spans="1:5" ht="12.75">
      <c r="A4" s="61" t="s">
        <v>29</v>
      </c>
      <c r="B4" s="58">
        <v>18000</v>
      </c>
      <c r="C4" s="62">
        <v>1.13664</v>
      </c>
      <c r="D4" s="63">
        <f>D3</f>
        <v>0.97</v>
      </c>
      <c r="E4" s="60">
        <f>B4*C4*D4</f>
        <v>19845.7344</v>
      </c>
    </row>
    <row r="5" spans="1:5" ht="12.75" hidden="1">
      <c r="A5" s="57" t="str">
        <f>IF(A4="Råvarer","Arbejdsløn","-")</f>
        <v>-</v>
      </c>
      <c r="B5" s="58">
        <v>0</v>
      </c>
      <c r="C5" s="59">
        <v>0</v>
      </c>
      <c r="D5" s="63">
        <f>IF(A5="arbejdsløn",D4,0)</f>
        <v>0</v>
      </c>
      <c r="E5" s="60">
        <f>B5*C5*D5</f>
        <v>0</v>
      </c>
    </row>
    <row r="6" spans="1:6" ht="12.75" hidden="1">
      <c r="A6" s="64" t="s">
        <v>30</v>
      </c>
      <c r="B6" s="65">
        <f>B3-B4-B5</f>
        <v>12000</v>
      </c>
      <c r="C6" s="66"/>
      <c r="D6" s="66"/>
      <c r="E6" s="67">
        <f>E3-E5-E4</f>
        <v>12164.265599999999</v>
      </c>
      <c r="F6" s="68"/>
    </row>
    <row r="7" spans="1:5" ht="12.75" hidden="1">
      <c r="A7" s="57" t="s">
        <v>31</v>
      </c>
      <c r="B7" s="58">
        <v>0</v>
      </c>
      <c r="C7" s="59">
        <v>1</v>
      </c>
      <c r="D7" s="69"/>
      <c r="E7" s="60">
        <f>B7*C7</f>
        <v>0</v>
      </c>
    </row>
    <row r="8" spans="1:5" ht="12.75">
      <c r="A8" s="64" t="s">
        <v>32</v>
      </c>
      <c r="B8" s="65">
        <f>B6-B7</f>
        <v>12000</v>
      </c>
      <c r="C8" s="66"/>
      <c r="D8" s="66"/>
      <c r="E8" s="67">
        <f>E6-E7</f>
        <v>12164.265599999999</v>
      </c>
    </row>
    <row r="9" spans="1:5" ht="12.75">
      <c r="A9" s="57" t="s">
        <v>33</v>
      </c>
      <c r="B9" s="58">
        <v>1000</v>
      </c>
      <c r="C9" s="59">
        <v>1</v>
      </c>
      <c r="D9" s="69"/>
      <c r="E9" s="60">
        <f>B9*C9</f>
        <v>1000</v>
      </c>
    </row>
    <row r="10" spans="1:5" ht="12.75">
      <c r="A10" s="64" t="s">
        <v>34</v>
      </c>
      <c r="B10" s="65">
        <f>B8-B9</f>
        <v>11000</v>
      </c>
      <c r="C10" s="66"/>
      <c r="D10" s="66"/>
      <c r="E10" s="67">
        <f>E8-E9</f>
        <v>11164.265599999999</v>
      </c>
    </row>
    <row r="11" spans="1:5" ht="12.75">
      <c r="A11" s="57" t="s">
        <v>35</v>
      </c>
      <c r="B11" s="58">
        <v>4000</v>
      </c>
      <c r="C11" s="59">
        <v>1.1</v>
      </c>
      <c r="D11" s="69"/>
      <c r="E11" s="60">
        <f>B11*C11</f>
        <v>4400</v>
      </c>
    </row>
    <row r="12" spans="1:5" ht="12.75" hidden="1">
      <c r="A12" s="57" t="s">
        <v>36</v>
      </c>
      <c r="B12" s="58">
        <v>0</v>
      </c>
      <c r="C12" s="59">
        <v>1</v>
      </c>
      <c r="D12" s="69"/>
      <c r="E12" s="60">
        <f>B12*C12</f>
        <v>0</v>
      </c>
    </row>
    <row r="13" spans="1:5" ht="12.75" hidden="1">
      <c r="A13" s="57" t="s">
        <v>37</v>
      </c>
      <c r="B13" s="58">
        <v>0</v>
      </c>
      <c r="C13" s="59">
        <v>1</v>
      </c>
      <c r="D13" s="69"/>
      <c r="E13" s="60">
        <f>B13*C13</f>
        <v>0</v>
      </c>
    </row>
    <row r="14" spans="1:5" ht="12.75" hidden="1">
      <c r="A14" s="57"/>
      <c r="B14" s="58">
        <v>0</v>
      </c>
      <c r="C14" s="59"/>
      <c r="D14" s="69"/>
      <c r="E14" s="60"/>
    </row>
    <row r="15" spans="1:5" ht="12.75" hidden="1">
      <c r="A15" s="57" t="s">
        <v>38</v>
      </c>
      <c r="B15" s="58">
        <v>0</v>
      </c>
      <c r="C15" s="59">
        <v>1</v>
      </c>
      <c r="D15" s="69"/>
      <c r="E15" s="60">
        <f>B15*C15</f>
        <v>0</v>
      </c>
    </row>
    <row r="16" spans="1:5" ht="12.75">
      <c r="A16" s="64" t="s">
        <v>39</v>
      </c>
      <c r="B16" s="65">
        <f>B10-SUM(B11:B15)</f>
        <v>7000</v>
      </c>
      <c r="C16" s="65"/>
      <c r="D16" s="65"/>
      <c r="E16" s="65">
        <f>E10-SUM(E11:E15)</f>
        <v>6764.265599999999</v>
      </c>
    </row>
    <row r="17" spans="1:5" ht="12.75">
      <c r="A17" s="57" t="s">
        <v>40</v>
      </c>
      <c r="B17" s="58">
        <v>1400</v>
      </c>
      <c r="C17" s="70">
        <v>1.143</v>
      </c>
      <c r="D17" s="69"/>
      <c r="E17" s="60">
        <f>B17*C17</f>
        <v>1600.2</v>
      </c>
    </row>
    <row r="18" spans="1:5" ht="12.75">
      <c r="A18" s="64" t="s">
        <v>41</v>
      </c>
      <c r="B18" s="71">
        <f>B16-B17</f>
        <v>5600</v>
      </c>
      <c r="C18" s="72"/>
      <c r="D18" s="72"/>
      <c r="E18" s="73">
        <f>E16-E17</f>
        <v>5164.065599999999</v>
      </c>
    </row>
    <row r="19" spans="1:5" ht="12.75">
      <c r="A19" s="57" t="s">
        <v>42</v>
      </c>
      <c r="B19" s="58">
        <v>952</v>
      </c>
      <c r="C19" s="59">
        <v>1.1</v>
      </c>
      <c r="D19" s="69"/>
      <c r="E19" s="60">
        <f>B19*C19</f>
        <v>1047.2</v>
      </c>
    </row>
    <row r="20" spans="1:5" ht="12.75" hidden="1">
      <c r="A20" s="57" t="s">
        <v>43</v>
      </c>
      <c r="B20" s="58">
        <v>0</v>
      </c>
      <c r="C20" s="59">
        <v>1</v>
      </c>
      <c r="D20" s="69"/>
      <c r="E20" s="60">
        <f>B20*C20</f>
        <v>0</v>
      </c>
    </row>
    <row r="21" spans="1:5" ht="12.75" hidden="1">
      <c r="A21" s="64" t="s">
        <v>44</v>
      </c>
      <c r="B21" s="71">
        <f>B18-B19+B20</f>
        <v>4648</v>
      </c>
      <c r="C21" s="72"/>
      <c r="D21" s="72"/>
      <c r="E21" s="73">
        <f>E18-E19+E20</f>
        <v>4116.865599999999</v>
      </c>
    </row>
    <row r="22" spans="1:5" ht="12.75" hidden="1">
      <c r="A22" s="57" t="s">
        <v>45</v>
      </c>
      <c r="B22" s="58">
        <v>0</v>
      </c>
      <c r="C22" s="59">
        <v>0</v>
      </c>
      <c r="D22" s="69"/>
      <c r="E22" s="60">
        <f>B22*C22</f>
        <v>0</v>
      </c>
    </row>
    <row r="23" spans="1:5" ht="12.75" hidden="1">
      <c r="A23" s="64" t="s">
        <v>46</v>
      </c>
      <c r="B23" s="71">
        <f>B21-B22</f>
        <v>4648</v>
      </c>
      <c r="C23" s="72"/>
      <c r="D23" s="72"/>
      <c r="E23" s="73">
        <f>E21-E22</f>
        <v>4116.865599999999</v>
      </c>
    </row>
    <row r="24" spans="1:5" ht="12.75" hidden="1">
      <c r="A24" s="57" t="s">
        <v>47</v>
      </c>
      <c r="B24" s="74">
        <v>0</v>
      </c>
      <c r="C24" s="75"/>
      <c r="D24" s="76">
        <v>0</v>
      </c>
      <c r="E24" s="73">
        <f>E23*D24</f>
        <v>0</v>
      </c>
    </row>
    <row r="25" spans="1:5" ht="13.5" thickBot="1">
      <c r="A25" s="77" t="s">
        <v>3</v>
      </c>
      <c r="B25" s="78">
        <f>B23-B24</f>
        <v>4648</v>
      </c>
      <c r="C25" s="79"/>
      <c r="D25" s="79"/>
      <c r="E25" s="80">
        <f>E23-E24</f>
        <v>4116.865599999999</v>
      </c>
    </row>
    <row r="26" ht="13.5" thickTop="1"/>
    <row r="27" ht="12.75">
      <c r="A27" s="81" t="s">
        <v>48</v>
      </c>
    </row>
    <row r="28" spans="1:5" ht="12.75">
      <c r="A28" t="s">
        <v>49</v>
      </c>
      <c r="B28" s="82">
        <v>400</v>
      </c>
      <c r="E28" s="82">
        <v>250</v>
      </c>
    </row>
    <row r="29" spans="1:5" ht="12.75">
      <c r="A29" s="81" t="s">
        <v>50</v>
      </c>
      <c r="B29" s="82">
        <v>4248</v>
      </c>
      <c r="E29" s="82">
        <f>E25-E28</f>
        <v>3866.865599999999</v>
      </c>
    </row>
    <row r="30" spans="2:5" ht="12.75">
      <c r="B30" s="83">
        <f>SUM(B28:B29)</f>
        <v>4648</v>
      </c>
      <c r="E30" s="84">
        <f>SUM(E28:E29)</f>
        <v>4116.865599999999</v>
      </c>
    </row>
    <row r="31" spans="1:5" ht="12.75">
      <c r="A31" s="81"/>
      <c r="E31" s="85"/>
    </row>
    <row r="32" spans="1:5" ht="12.75">
      <c r="A32" s="81"/>
      <c r="E32" s="85"/>
    </row>
    <row r="33" spans="2:5" ht="12.75">
      <c r="B33">
        <f>B2</f>
        <v>2009</v>
      </c>
      <c r="C33" s="224" t="s">
        <v>51</v>
      </c>
      <c r="D33" s="224"/>
      <c r="E33">
        <f>B33+1</f>
        <v>2010</v>
      </c>
    </row>
    <row r="34" spans="1:5" ht="12.75">
      <c r="A34" t="s">
        <v>52</v>
      </c>
      <c r="B34" s="87">
        <v>42</v>
      </c>
      <c r="C34" s="225">
        <v>0</v>
      </c>
      <c r="D34" s="225"/>
      <c r="E34" s="88">
        <f>B34+C34</f>
        <v>42</v>
      </c>
    </row>
    <row r="36" spans="1:4" ht="12.75">
      <c r="A36" s="89" t="s">
        <v>53</v>
      </c>
      <c r="B36" s="90" t="str">
        <f>IF(C36&gt;0,"incl. moms","excl. moms")</f>
        <v>excl. moms</v>
      </c>
      <c r="C36" s="226">
        <v>0</v>
      </c>
      <c r="D36" s="220"/>
    </row>
    <row r="38" spans="1:4" ht="12.75">
      <c r="A38" s="81" t="s">
        <v>54</v>
      </c>
      <c r="C38" s="227">
        <v>0</v>
      </c>
      <c r="D38" s="227"/>
    </row>
  </sheetData>
  <sheetProtection/>
  <mergeCells count="5">
    <mergeCell ref="A1:E1"/>
    <mergeCell ref="C33:D33"/>
    <mergeCell ref="C34:D34"/>
    <mergeCell ref="C36:D36"/>
    <mergeCell ref="C38:D38"/>
  </mergeCells>
  <printOptions/>
  <pageMargins left="0.5905511811023623" right="0.3937007874015748" top="0.984251968503937" bottom="0.984251968503937" header="0" footer="0"/>
  <pageSetup horizontalDpi="600" verticalDpi="600" orientation="portrait" paperSize="9" scale="11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35" sqref="B35:C35"/>
    </sheetView>
  </sheetViews>
  <sheetFormatPr defaultColWidth="9.140625" defaultRowHeight="12.75"/>
  <cols>
    <col min="1" max="1" width="22.7109375" style="0" customWidth="1"/>
    <col min="2" max="2" width="11.28125" style="0" customWidth="1"/>
    <col min="3" max="3" width="10.421875" style="0" customWidth="1"/>
    <col min="4" max="4" width="9.8515625" style="0" customWidth="1"/>
    <col min="5" max="5" width="11.57421875" style="0" customWidth="1"/>
    <col min="6" max="6" width="21.7109375" style="0" customWidth="1"/>
    <col min="7" max="7" width="14.57421875" style="0" customWidth="1"/>
    <col min="9" max="9" width="13.140625" style="0" customWidth="1"/>
  </cols>
  <sheetData>
    <row r="1" spans="1:9" ht="23.25">
      <c r="A1" s="238" t="s">
        <v>55</v>
      </c>
      <c r="B1" s="220"/>
      <c r="C1" s="220"/>
      <c r="D1" s="220"/>
      <c r="E1" s="220"/>
      <c r="F1" s="220"/>
      <c r="G1" s="220"/>
      <c r="H1" s="220"/>
      <c r="I1" s="220"/>
    </row>
    <row r="2" spans="1:9" ht="13.5" thickBot="1">
      <c r="A2" t="s">
        <v>56</v>
      </c>
      <c r="B2" t="str">
        <f>CONCATENATE("31/12-",'opg 3 Resultatbudget'!B2)</f>
        <v>31/12-2009</v>
      </c>
      <c r="E2" t="str">
        <f>CONCATENATE("31/12-",'opg 3 Resultatbudget'!B2+1)</f>
        <v>31/12-2010</v>
      </c>
      <c r="F2" t="s">
        <v>57</v>
      </c>
      <c r="G2" t="str">
        <f>B2</f>
        <v>31/12-2009</v>
      </c>
      <c r="H2" t="s">
        <v>51</v>
      </c>
      <c r="I2" t="str">
        <f>E2</f>
        <v>31/12-2010</v>
      </c>
    </row>
    <row r="3" spans="1:9" ht="12.75">
      <c r="A3" s="91" t="s">
        <v>58</v>
      </c>
      <c r="B3" s="92"/>
      <c r="C3" s="92" t="s">
        <v>59</v>
      </c>
      <c r="D3" s="93" t="s">
        <v>60</v>
      </c>
      <c r="E3" s="94"/>
      <c r="F3" s="95" t="s">
        <v>61</v>
      </c>
      <c r="G3" s="96"/>
      <c r="H3" s="96"/>
      <c r="I3" s="97"/>
    </row>
    <row r="4" spans="1:9" ht="12.75">
      <c r="A4" s="57" t="s">
        <v>62</v>
      </c>
      <c r="B4" s="58">
        <v>1996</v>
      </c>
      <c r="C4" s="58">
        <v>0</v>
      </c>
      <c r="D4" s="98">
        <f>'opg 3 Resultatbudget'!E17</f>
        <v>1600.2</v>
      </c>
      <c r="E4" s="99">
        <f>B4+C4-D4</f>
        <v>395.79999999999995</v>
      </c>
      <c r="F4" s="100" t="str">
        <f>IF('opg 3 Resultatbudget'!B30&gt;0,"Aktiekapital","Primo")</f>
        <v>Aktiekapital</v>
      </c>
      <c r="G4" s="101">
        <v>2500</v>
      </c>
      <c r="H4" s="84">
        <f>'opg 3 Resultatbudget'!C38</f>
        <v>0</v>
      </c>
      <c r="I4" s="102">
        <f>IF(F4="Aktiekapital",G4+H4,G7)</f>
        <v>2500</v>
      </c>
    </row>
    <row r="5" spans="1:9" ht="12.75">
      <c r="A5" s="25" t="s">
        <v>63</v>
      </c>
      <c r="B5" s="58">
        <v>7929</v>
      </c>
      <c r="C5" s="58">
        <v>3400</v>
      </c>
      <c r="D5" s="98"/>
      <c r="E5" s="99">
        <f>B5+C5</f>
        <v>11329</v>
      </c>
      <c r="F5" s="103" t="str">
        <f>IF('opg 3 Resultatbudget'!B30&gt;0,'opg 3 Resultatbudget'!A29,"åretsresultat")</f>
        <v>Reserver</v>
      </c>
      <c r="G5" s="104">
        <v>4814</v>
      </c>
      <c r="H5" s="99">
        <f>IF(F4="Aktiekapital",'opg 3 Resultatbudget'!E29,0)</f>
        <v>3866.865599999999</v>
      </c>
      <c r="I5" s="105">
        <f>IF(F4="aktiekapital",G5+H5,'opg 3 Resultatbudget'!E25)+G6</f>
        <v>12887.8656</v>
      </c>
    </row>
    <row r="6" spans="1:9" ht="12.75">
      <c r="A6" s="25"/>
      <c r="B6" s="58">
        <v>0</v>
      </c>
      <c r="C6" s="58">
        <v>0</v>
      </c>
      <c r="D6" s="98"/>
      <c r="E6" s="99">
        <f aca="true" t="shared" si="0" ref="E6:E12">B6+C6</f>
        <v>0</v>
      </c>
      <c r="F6" s="103" t="s">
        <v>64</v>
      </c>
      <c r="G6" s="104">
        <v>4207</v>
      </c>
      <c r="H6" s="99"/>
      <c r="I6" s="106"/>
    </row>
    <row r="7" spans="1:9" ht="12.75">
      <c r="A7" s="25"/>
      <c r="B7" s="58">
        <v>0</v>
      </c>
      <c r="C7" s="58">
        <v>0</v>
      </c>
      <c r="D7" s="98"/>
      <c r="E7" s="99">
        <f t="shared" si="0"/>
        <v>0</v>
      </c>
      <c r="F7" s="107" t="s">
        <v>65</v>
      </c>
      <c r="G7" s="83">
        <f>SUM(G4:G6)</f>
        <v>11521</v>
      </c>
      <c r="H7" s="83">
        <f>H4+H5-H6</f>
        <v>3866.865599999999</v>
      </c>
      <c r="I7" s="108">
        <f>I4+I5-I6</f>
        <v>15387.8656</v>
      </c>
    </row>
    <row r="8" spans="1:9" ht="12.75">
      <c r="A8" s="25"/>
      <c r="B8" s="58">
        <v>0</v>
      </c>
      <c r="C8" s="58">
        <v>0</v>
      </c>
      <c r="D8" s="98"/>
      <c r="E8" s="99">
        <f t="shared" si="0"/>
        <v>0</v>
      </c>
      <c r="F8" s="109" t="s">
        <v>66</v>
      </c>
      <c r="G8" s="99"/>
      <c r="H8" s="99"/>
      <c r="I8" s="105">
        <f>G8+H8</f>
        <v>0</v>
      </c>
    </row>
    <row r="9" spans="1:9" ht="12.75">
      <c r="A9" s="25" t="s">
        <v>67</v>
      </c>
      <c r="B9" s="58">
        <v>0</v>
      </c>
      <c r="C9" s="58">
        <v>0</v>
      </c>
      <c r="D9" s="98"/>
      <c r="E9" s="99">
        <f t="shared" si="0"/>
        <v>0</v>
      </c>
      <c r="F9" s="110" t="s">
        <v>68</v>
      </c>
      <c r="G9" s="99"/>
      <c r="H9" s="99"/>
      <c r="I9" s="105">
        <f>G9+H9</f>
        <v>0</v>
      </c>
    </row>
    <row r="10" spans="1:9" ht="12.75">
      <c r="A10" s="25"/>
      <c r="B10" s="58">
        <v>0</v>
      </c>
      <c r="C10" s="58">
        <v>0</v>
      </c>
      <c r="D10" s="98"/>
      <c r="E10" s="99">
        <f t="shared" si="0"/>
        <v>0</v>
      </c>
      <c r="F10" s="111" t="s">
        <v>69</v>
      </c>
      <c r="G10" s="99"/>
      <c r="H10" s="104">
        <f>3400*0.6</f>
        <v>2040</v>
      </c>
      <c r="I10" s="105">
        <f>G10+H10</f>
        <v>2040</v>
      </c>
    </row>
    <row r="11" spans="1:9" ht="12.75">
      <c r="A11" s="25"/>
      <c r="B11" s="58">
        <v>0</v>
      </c>
      <c r="C11" s="58">
        <v>0</v>
      </c>
      <c r="D11" s="98"/>
      <c r="E11" s="99">
        <f t="shared" si="0"/>
        <v>0</v>
      </c>
      <c r="F11" s="111" t="s">
        <v>70</v>
      </c>
      <c r="G11" s="104">
        <v>6317</v>
      </c>
      <c r="H11" s="104">
        <v>-640</v>
      </c>
      <c r="I11" s="105">
        <f>G11+H11</f>
        <v>5677</v>
      </c>
    </row>
    <row r="12" spans="1:9" ht="12.75">
      <c r="A12" s="25" t="s">
        <v>71</v>
      </c>
      <c r="B12" s="58">
        <v>0</v>
      </c>
      <c r="C12" s="58">
        <v>0</v>
      </c>
      <c r="D12" s="98"/>
      <c r="E12" s="99">
        <f t="shared" si="0"/>
        <v>0</v>
      </c>
      <c r="F12" s="25" t="s">
        <v>72</v>
      </c>
      <c r="G12" s="104"/>
      <c r="H12" s="104"/>
      <c r="I12" s="105">
        <f>G12+H12</f>
        <v>0</v>
      </c>
    </row>
    <row r="13" spans="1:9" ht="12.75">
      <c r="A13" s="112" t="s">
        <v>73</v>
      </c>
      <c r="B13" s="113">
        <f>SUM(B4:B12)</f>
        <v>9925</v>
      </c>
      <c r="C13" s="71">
        <f>SUM(C4:C12)</f>
        <v>3400</v>
      </c>
      <c r="D13" s="71">
        <f>SUM(D4:D12)</f>
        <v>1600.2</v>
      </c>
      <c r="E13" s="83">
        <f>B13+C13-D13</f>
        <v>11724.8</v>
      </c>
      <c r="F13" s="112" t="s">
        <v>74</v>
      </c>
      <c r="G13" s="83">
        <f>SUM(G8:G12)</f>
        <v>6317</v>
      </c>
      <c r="H13" s="83">
        <f>SUM(H8:H12)</f>
        <v>1400</v>
      </c>
      <c r="I13" s="108">
        <f>SUM(I8:I12)</f>
        <v>7717</v>
      </c>
    </row>
    <row r="14" spans="1:9" ht="12.75">
      <c r="A14" s="114" t="s">
        <v>75</v>
      </c>
      <c r="B14" s="115"/>
      <c r="C14" s="234" t="s">
        <v>51</v>
      </c>
      <c r="D14" s="235"/>
      <c r="E14" s="99"/>
      <c r="F14" s="111" t="s">
        <v>76</v>
      </c>
      <c r="G14" s="99"/>
      <c r="H14" s="99"/>
      <c r="I14" s="105">
        <f aca="true" t="shared" si="1" ref="I14:I19">G14+H14</f>
        <v>0</v>
      </c>
    </row>
    <row r="15" spans="1:9" ht="12.75">
      <c r="A15" s="116" t="str">
        <f>IF('opg 3 Resultatbudget'!A4="Råvarer","Råvererlager","Varelager")</f>
        <v>Varelager</v>
      </c>
      <c r="B15" s="58">
        <v>4008</v>
      </c>
      <c r="C15" s="234"/>
      <c r="D15" s="235"/>
      <c r="E15" s="99">
        <f>I27</f>
        <v>4961.4336</v>
      </c>
      <c r="F15" s="25" t="s">
        <v>77</v>
      </c>
      <c r="G15" s="104">
        <v>5179</v>
      </c>
      <c r="H15" s="99"/>
      <c r="I15" s="105">
        <f>I41</f>
        <v>4159.8336</v>
      </c>
    </row>
    <row r="16" spans="1:9" ht="12.75">
      <c r="A16" s="116" t="str">
        <f>IF('opg 3 Resultatbudget'!A4="Råvarer","Produktion","-")</f>
        <v>-</v>
      </c>
      <c r="B16" s="117">
        <v>0</v>
      </c>
      <c r="C16" s="232"/>
      <c r="D16" s="233"/>
      <c r="E16" s="99">
        <f>IF(I30="-",0,I30)</f>
        <v>0</v>
      </c>
      <c r="F16" s="25" t="s">
        <v>72</v>
      </c>
      <c r="G16" s="104">
        <v>0</v>
      </c>
      <c r="H16" s="104"/>
      <c r="I16" s="105">
        <f t="shared" si="1"/>
        <v>0</v>
      </c>
    </row>
    <row r="17" spans="1:9" ht="12.75">
      <c r="A17" s="116" t="str">
        <f>IF('opg 3 Resultatbudget'!A4="Råvarer","Færdigvarer","-")</f>
        <v>-</v>
      </c>
      <c r="B17" s="117">
        <v>0</v>
      </c>
      <c r="C17" s="232"/>
      <c r="D17" s="233"/>
      <c r="E17" s="99">
        <f>IF('opg 3 Resultatbudget'!B5=0,0,I34)</f>
        <v>0</v>
      </c>
      <c r="F17" s="25" t="s">
        <v>78</v>
      </c>
      <c r="G17" s="104">
        <v>0</v>
      </c>
      <c r="H17" s="104"/>
      <c r="I17" s="105">
        <f t="shared" si="1"/>
        <v>0</v>
      </c>
    </row>
    <row r="18" spans="1:9" ht="12.75">
      <c r="A18" s="116" t="s">
        <v>79</v>
      </c>
      <c r="B18" s="58">
        <v>10000</v>
      </c>
      <c r="C18" s="232"/>
      <c r="D18" s="233"/>
      <c r="E18" s="99">
        <f>I38</f>
        <v>10670</v>
      </c>
      <c r="F18" s="25" t="s">
        <v>80</v>
      </c>
      <c r="G18" s="104">
        <v>0</v>
      </c>
      <c r="H18" s="104"/>
      <c r="I18" s="105">
        <f t="shared" si="1"/>
        <v>0</v>
      </c>
    </row>
    <row r="19" spans="1:9" ht="12.75">
      <c r="A19" s="116" t="s">
        <v>81</v>
      </c>
      <c r="B19" s="58">
        <v>0</v>
      </c>
      <c r="C19" s="230">
        <v>0</v>
      </c>
      <c r="D19" s="231"/>
      <c r="E19" s="99">
        <f>B19+C19</f>
        <v>0</v>
      </c>
      <c r="F19" s="25" t="s">
        <v>82</v>
      </c>
      <c r="G19" s="104">
        <v>0</v>
      </c>
      <c r="H19" s="104">
        <v>0</v>
      </c>
      <c r="I19" s="105">
        <f t="shared" si="1"/>
        <v>0</v>
      </c>
    </row>
    <row r="20" spans="1:9" ht="12.75">
      <c r="A20" s="116" t="s">
        <v>83</v>
      </c>
      <c r="B20" s="58">
        <v>0</v>
      </c>
      <c r="C20" s="230">
        <v>0</v>
      </c>
      <c r="D20" s="231"/>
      <c r="E20" s="99">
        <f>B20+C20</f>
        <v>0</v>
      </c>
      <c r="F20" s="57" t="s">
        <v>84</v>
      </c>
      <c r="G20" s="104">
        <v>0</v>
      </c>
      <c r="H20" s="104">
        <v>0</v>
      </c>
      <c r="I20" s="105">
        <f>G20+H20</f>
        <v>0</v>
      </c>
    </row>
    <row r="21" spans="1:9" ht="12.75">
      <c r="A21" s="116" t="s">
        <v>85</v>
      </c>
      <c r="B21" s="58">
        <v>0</v>
      </c>
      <c r="C21" s="230">
        <v>0</v>
      </c>
      <c r="D21" s="231"/>
      <c r="E21" s="99">
        <f>B21+C21</f>
        <v>0</v>
      </c>
      <c r="F21" s="111" t="str">
        <f>IF('opg 3 Resultatbudget'!E28&gt;0,"Udbytte","-")</f>
        <v>Udbytte</v>
      </c>
      <c r="G21" s="118">
        <f>'opg 3 Resultatbudget'!B28</f>
        <v>400</v>
      </c>
      <c r="H21" s="99"/>
      <c r="I21" s="105">
        <f>'opg 3 Resultatbudget'!E28</f>
        <v>250</v>
      </c>
    </row>
    <row r="22" spans="1:9" ht="12.75">
      <c r="A22" s="116" t="s">
        <v>86</v>
      </c>
      <c r="B22" s="58">
        <v>609</v>
      </c>
      <c r="C22" s="232"/>
      <c r="D22" s="233"/>
      <c r="E22" s="99">
        <f>IF('opg 3 Likviditetsbudget'!F40&gt;0,'opg 3 Likviditetsbudget'!F40,0)</f>
        <v>200.46559999999863</v>
      </c>
      <c r="F22" s="57" t="str">
        <f>(IF('opg 3 Resultatbudget'!B34&gt;0,"Kassekredit","-"))</f>
        <v>Kassekredit</v>
      </c>
      <c r="G22" s="104">
        <v>1125</v>
      </c>
      <c r="H22" s="99">
        <f>IF('opg 3 Likviditetsbudget'!F40&lt;0,'opg 3 Likviditetsbudget'!F40*-1+'opg 3 Resultatbudget'!E34-'opg 3 Balance'!G22,0)</f>
        <v>0</v>
      </c>
      <c r="I22" s="105">
        <f>IF('opg 3 Likviditetsbudget'!F40&gt;=0,'opg 3 Resultatbudget'!E34,'opg 3 Likviditetsbudget'!F40*-1+'opg 3 Resultatbudget'!E34)</f>
        <v>42</v>
      </c>
    </row>
    <row r="23" spans="1:9" ht="12.75">
      <c r="A23" s="100" t="s">
        <v>87</v>
      </c>
      <c r="B23" s="119">
        <f>SUM(B15:B22)</f>
        <v>14617</v>
      </c>
      <c r="C23" s="234"/>
      <c r="D23" s="235"/>
      <c r="E23" s="120">
        <f>SUM(E15:E22)</f>
        <v>15831.8992</v>
      </c>
      <c r="F23" s="121" t="s">
        <v>88</v>
      </c>
      <c r="G23" s="122">
        <f>SUM(G14:G22)</f>
        <v>6704</v>
      </c>
      <c r="H23" s="122">
        <f>SUM(H14:H22)</f>
        <v>0</v>
      </c>
      <c r="I23" s="123">
        <f>SUM(I14:I22)</f>
        <v>4451.8336</v>
      </c>
    </row>
    <row r="24" spans="1:9" ht="13.5" thickBot="1">
      <c r="A24" s="124" t="s">
        <v>89</v>
      </c>
      <c r="B24" s="125">
        <f>SUM(B13:B22)</f>
        <v>24542</v>
      </c>
      <c r="C24" s="236"/>
      <c r="D24" s="237"/>
      <c r="E24" s="126">
        <f>SUM(E23+E13)</f>
        <v>27556.6992</v>
      </c>
      <c r="F24" s="124" t="s">
        <v>90</v>
      </c>
      <c r="G24" s="127">
        <f>SUM(G23+G13+G7)</f>
        <v>24542</v>
      </c>
      <c r="H24" s="128"/>
      <c r="I24" s="129">
        <f>SUM(I23+I13+I7)</f>
        <v>27556.6992</v>
      </c>
    </row>
    <row r="25" spans="1:9" ht="13.5" thickTop="1">
      <c r="A25" s="130"/>
      <c r="B25" s="131"/>
      <c r="C25" s="132"/>
      <c r="D25" s="132"/>
      <c r="E25" s="131"/>
      <c r="F25" s="130"/>
      <c r="G25" s="133"/>
      <c r="H25" s="99"/>
      <c r="I25" s="133"/>
    </row>
    <row r="26" spans="1:8" ht="12.75">
      <c r="A26" s="81" t="s">
        <v>91</v>
      </c>
      <c r="B26" s="229" t="s">
        <v>92</v>
      </c>
      <c r="C26" s="229"/>
      <c r="E26">
        <f>'opg 3 Resultatbudget'!B2</f>
        <v>2009</v>
      </c>
      <c r="H26">
        <f>E26+1</f>
        <v>2010</v>
      </c>
    </row>
    <row r="27" spans="2:9" ht="13.5" thickBot="1">
      <c r="B27" s="228" t="str">
        <f>'opg 3 Resultatbudget'!A4</f>
        <v>Vareforbrug</v>
      </c>
      <c r="C27" s="228"/>
      <c r="E27" s="134">
        <f>'opg 3 Resultatbudget'!B4</f>
        <v>18000</v>
      </c>
      <c r="F27" s="135" t="str">
        <f>CONCATENATE("=",ROUND((E27/E28),2),"  ","gange")</f>
        <v>=4,49  gange</v>
      </c>
      <c r="H27" s="134">
        <f>'opg 3 Resultatbudget'!E4</f>
        <v>19845.7344</v>
      </c>
      <c r="I27" s="136">
        <f>H27/H28</f>
        <v>4961.4336</v>
      </c>
    </row>
    <row r="28" spans="1:9" ht="12.75">
      <c r="A28" s="81" t="str">
        <f>A15</f>
        <v>Varelager</v>
      </c>
      <c r="B28" s="220" t="str">
        <f>A28</f>
        <v>Varelager</v>
      </c>
      <c r="C28" s="220"/>
      <c r="E28" s="68">
        <f>B15</f>
        <v>4008</v>
      </c>
      <c r="F28" s="135"/>
      <c r="H28" s="136">
        <v>4</v>
      </c>
      <c r="I28" s="136"/>
    </row>
    <row r="29" spans="6:9" ht="12.75">
      <c r="F29" s="135"/>
      <c r="I29" s="136"/>
    </row>
    <row r="30" spans="1:9" ht="13.5" hidden="1" thickBot="1">
      <c r="A30" s="81" t="str">
        <f>A16</f>
        <v>-</v>
      </c>
      <c r="B30" s="228" t="str">
        <f>IF('opg 3 Resultatbudget'!B5=0,"-",B31)</f>
        <v>-</v>
      </c>
      <c r="C30" s="228"/>
      <c r="E30" s="134" t="str">
        <f>IF('opg 3 Resultatbudget'!B5=0,"-",E31)</f>
        <v>-</v>
      </c>
      <c r="F30" s="135" t="str">
        <f>IF('opg 3 Resultatbudget'!B5=0,"-",F31)</f>
        <v>-</v>
      </c>
      <c r="H30" s="134" t="str">
        <f>IF('opg 3 Resultatbudget'!B5=0,"-",'opg 3 Resultatbudget'!E4+'opg 3 Resultatbudget'!E5)</f>
        <v>-</v>
      </c>
      <c r="I30" s="136" t="str">
        <f>IF('opg 3 Resultatbudget'!B5=0,"-",H31/H32)</f>
        <v>-</v>
      </c>
    </row>
    <row r="31" spans="1:9" ht="13.5" hidden="1" thickBot="1">
      <c r="A31" t="str">
        <f>A16</f>
        <v>-</v>
      </c>
      <c r="B31" s="228" t="str">
        <f>CONCATENATE('opg 3 Resultatbudget'!A4,"+",'opg 3 Resultatbudget'!A5)</f>
        <v>Vareforbrug+-</v>
      </c>
      <c r="C31" s="228"/>
      <c r="E31" s="134">
        <f>'opg 3 Resultatbudget'!B4+'opg 3 Resultatbudget'!B5</f>
        <v>18000</v>
      </c>
      <c r="F31" s="135" t="e">
        <f>CONCATENATE("=",ROUND((E31/E32),2),"gange")</f>
        <v>#VALUE!</v>
      </c>
      <c r="H31">
        <f>'opg 3 Resultatbudget'!E4+'opg 3 Resultatbudget'!E5</f>
        <v>19845.7344</v>
      </c>
      <c r="I31" s="136" t="e">
        <f>H31/H32</f>
        <v>#VALUE!</v>
      </c>
    </row>
    <row r="32" spans="2:9" ht="12.75" hidden="1">
      <c r="B32" s="220" t="str">
        <f>A16</f>
        <v>-</v>
      </c>
      <c r="C32" s="220"/>
      <c r="E32" t="str">
        <f>IF('opg 3 Resultatbudget'!B5=0,"-",B16)</f>
        <v>-</v>
      </c>
      <c r="F32" s="135"/>
      <c r="H32" t="str">
        <f>IF('opg 3 Resultatbudget'!B5=0,"-",E31/E32)</f>
        <v>-</v>
      </c>
      <c r="I32" s="136"/>
    </row>
    <row r="33" spans="6:9" ht="12.75" hidden="1">
      <c r="F33" s="135"/>
      <c r="I33" s="136"/>
    </row>
    <row r="34" spans="1:9" ht="13.5" hidden="1" thickBot="1">
      <c r="A34" s="81" t="str">
        <f>A17</f>
        <v>-</v>
      </c>
      <c r="B34" s="228" t="str">
        <f>IF('opg 3 Resultatbudget'!B5=0,"-",B35)</f>
        <v>-</v>
      </c>
      <c r="C34" s="228"/>
      <c r="E34" s="134" t="str">
        <f>IF('opg 3 Resultatbudget'!B5=0,"-",'opg 3 Resultatbudget'!B4+'opg 3 Resultatbudget'!B5)</f>
        <v>-</v>
      </c>
      <c r="F34" s="135" t="str">
        <f>IF(E34="-","-",F35)</f>
        <v>-</v>
      </c>
      <c r="H34" s="134" t="str">
        <f>IF('opg 3 Resultatbudget'!B5=0,"-",'opg 3 Resultatbudget'!E4+'opg 3 Resultatbudget'!E5)</f>
        <v>-</v>
      </c>
      <c r="I34" s="136" t="str">
        <f>IF(E36="-","-",H35/H36)</f>
        <v>-</v>
      </c>
    </row>
    <row r="35" spans="1:9" ht="13.5" hidden="1" thickBot="1">
      <c r="A35" t="str">
        <f>A17</f>
        <v>-</v>
      </c>
      <c r="B35" s="228" t="str">
        <f>CONCATENATE('opg 3 Resultatbudget'!A4,"+",'opg 3 Resultatbudget'!A5)</f>
        <v>Vareforbrug+-</v>
      </c>
      <c r="C35" s="228"/>
      <c r="E35">
        <f>E31</f>
        <v>18000</v>
      </c>
      <c r="F35" s="135" t="e">
        <f>CONCATENATE("=",ROUND((E35/E36),2),"gange")</f>
        <v>#VALUE!</v>
      </c>
      <c r="H35">
        <f>'opg 3 Resultatbudget'!E4+'opg 3 Resultatbudget'!E5</f>
        <v>19845.7344</v>
      </c>
      <c r="I35" s="136" t="e">
        <f>H35/H36</f>
        <v>#VALUE!</v>
      </c>
    </row>
    <row r="36" spans="2:8" ht="12.75" hidden="1">
      <c r="B36" s="220" t="str">
        <f>IF('opg 3 Resultatbudget'!B5=0,"-",A35)</f>
        <v>-</v>
      </c>
      <c r="C36" s="220"/>
      <c r="E36" t="str">
        <f>IF(B17=0,"-",B17)</f>
        <v>-</v>
      </c>
      <c r="H36" t="str">
        <f>IF(E36="-","-",E35/E36)</f>
        <v>-</v>
      </c>
    </row>
    <row r="37" spans="2:8" ht="12.75" hidden="1">
      <c r="B37" s="2"/>
      <c r="C37" s="2"/>
      <c r="D37" s="2"/>
      <c r="E37" s="2"/>
      <c r="H37" s="2"/>
    </row>
    <row r="38" spans="1:9" ht="13.5" thickBot="1">
      <c r="A38" s="81" t="str">
        <f>A18</f>
        <v>Varedebitorer</v>
      </c>
      <c r="B38" s="228" t="str">
        <f>IF('opg 3 Resultatbudget'!B36="incl. Moms",CONCATENATE('opg 3 Resultatbudget'!A3," * ",(1+'opg 3 Resultatbudget'!C36)),CONCATENATE('opg 3 Resultatbudget'!A3,"   ","excl. moms"))</f>
        <v>Omsætning   excl. moms</v>
      </c>
      <c r="C38" s="228"/>
      <c r="E38" s="134">
        <f>IF('opg 3 Resultatbudget'!B36="incl. moms",'opg 3 Resultatbudget'!B3*(1+'opg 3 Resultatbudget'!C36),'opg 3 Resultatbudget'!B3)</f>
        <v>30000</v>
      </c>
      <c r="F38" s="68" t="str">
        <f>CONCATENATE(ROUND((E38/E39),2),"  ","gange")</f>
        <v>3  gange</v>
      </c>
      <c r="H38" s="134">
        <f>IF('opg 3 Resultatbudget'!B36="incl. moms",'opg 3 Resultatbudget'!E3*1.25,'opg 3 Resultatbudget'!E3)</f>
        <v>32010</v>
      </c>
      <c r="I38" s="136">
        <f>H38/H39</f>
        <v>10670</v>
      </c>
    </row>
    <row r="39" spans="2:9" ht="12.75">
      <c r="B39" s="220" t="str">
        <f>A18</f>
        <v>Varedebitorer</v>
      </c>
      <c r="C39" s="220"/>
      <c r="E39" s="68">
        <f>B18</f>
        <v>10000</v>
      </c>
      <c r="F39" s="68"/>
      <c r="H39" s="136">
        <f>E38/E39</f>
        <v>3</v>
      </c>
      <c r="I39" s="136"/>
    </row>
    <row r="40" spans="2:9" ht="12.75">
      <c r="B40" s="2"/>
      <c r="C40" s="2"/>
      <c r="E40" s="2"/>
      <c r="F40" s="68"/>
      <c r="I40" s="136"/>
    </row>
    <row r="41" spans="1:9" ht="13.5" thickBot="1">
      <c r="A41" s="81" t="str">
        <f>F15</f>
        <v>Varekreditorer</v>
      </c>
      <c r="B41" s="228" t="str">
        <f>IF('opg 3 Resultatbudget'!B36="excl. moms","Varekøb excl.. moms",CONCATENATE("Varekøb"," * ",(1+'opg 3 Resultatbudget'!C36)))</f>
        <v>Varekøb excl.. moms</v>
      </c>
      <c r="C41" s="228"/>
      <c r="E41" s="137">
        <f>IF('opg 3 Resultatbudget'!B36="excl. Moms",E45,E45*(1+'opg 3 Resultatbudget'!C36))</f>
        <v>18000</v>
      </c>
      <c r="F41" s="68" t="str">
        <f>CONCATENATE(ROUND((E41/E42),2),"  ","gange")</f>
        <v>3,48  gange</v>
      </c>
      <c r="H41" s="134">
        <f>IF('opg 3 Resultatbudget'!B36="excl. Moms",E46,E46*1.25)</f>
        <v>20799.168</v>
      </c>
      <c r="I41" s="136">
        <f>H41/H42</f>
        <v>4159.8336</v>
      </c>
    </row>
    <row r="42" spans="2:10" ht="12.75">
      <c r="B42" s="220" t="str">
        <f>F15</f>
        <v>Varekreditorer</v>
      </c>
      <c r="C42" s="220"/>
      <c r="E42" s="68">
        <f>G15</f>
        <v>5179</v>
      </c>
      <c r="H42" s="138">
        <f>360/72</f>
        <v>5</v>
      </c>
      <c r="J42" s="139"/>
    </row>
    <row r="44" spans="1:6" ht="12.75">
      <c r="A44" s="140" t="s">
        <v>93</v>
      </c>
      <c r="B44" s="81" t="str">
        <f>'opg 3 Resultatbudget'!A4</f>
        <v>Vareforbrug</v>
      </c>
      <c r="C44" s="81" t="str">
        <f>CONCATENATE("+","  ",A15,"  ","ultimo","  "," - ",A15,"  ","primo")</f>
        <v>+  Varelager  ultimo   - Varelager  primo</v>
      </c>
      <c r="D44" s="81"/>
      <c r="E44" s="81"/>
      <c r="F44" s="81"/>
    </row>
    <row r="45" spans="1:6" ht="12.75">
      <c r="A45" s="86" t="str">
        <f>CONCATENATE("Varekøb"," ",'opg 3 Resultatbudget'!B2)</f>
        <v>Varekøb 2009</v>
      </c>
      <c r="B45">
        <f>'opg 3 Resultatbudget'!B4</f>
        <v>18000</v>
      </c>
      <c r="C45" t="str">
        <f>CONCATENATE("+","  ",B15)</f>
        <v>+  4008</v>
      </c>
      <c r="D45" t="str">
        <f>CONCATENATE("-","  ",B15)</f>
        <v>-  4008</v>
      </c>
      <c r="E45" s="68">
        <f>B45+B15-B15</f>
        <v>18000</v>
      </c>
      <c r="F45" t="str">
        <f>CONCATENATE("Det forudsættes at der ikke er lagerændringer fra primo"," ",'opg 3 Resultatbudget'!B2," ","til ultimo"," ",'opg 3 Resultatbudget'!B2)</f>
        <v>Det forudsættes at der ikke er lagerændringer fra primo 2009 til ultimo 2009</v>
      </c>
    </row>
    <row r="46" spans="1:5" ht="12.75">
      <c r="A46" s="86" t="str">
        <f>CONCATENATE("Varekøb"," ",'opg 3 Resultatbudget'!B2+1)</f>
        <v>Varekøb 2010</v>
      </c>
      <c r="B46" s="88">
        <f>'opg 3 Resultatbudget'!E4</f>
        <v>19845.7344</v>
      </c>
      <c r="C46" t="str">
        <f>CONCATENATE("+","  ",E15)</f>
        <v>+  4961,4336</v>
      </c>
      <c r="D46" t="str">
        <f>CONCATENATE("-","  ",B15)</f>
        <v>-  4008</v>
      </c>
      <c r="E46" s="68">
        <f>B46+E15-B15</f>
        <v>20799.168</v>
      </c>
    </row>
  </sheetData>
  <sheetProtection/>
  <mergeCells count="25">
    <mergeCell ref="A1:I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26:C26"/>
    <mergeCell ref="B27:C27"/>
    <mergeCell ref="B28:C28"/>
    <mergeCell ref="B30:C30"/>
    <mergeCell ref="B31:C31"/>
    <mergeCell ref="B32:C32"/>
    <mergeCell ref="B42:C42"/>
    <mergeCell ref="B34:C34"/>
    <mergeCell ref="B35:C35"/>
    <mergeCell ref="B36:C36"/>
    <mergeCell ref="B38:C38"/>
    <mergeCell ref="B39:C39"/>
    <mergeCell ref="B41:C41"/>
  </mergeCells>
  <printOptions/>
  <pageMargins left="0.7874015748031497" right="0.7874015748031497" top="0.1968503937007874" bottom="0.3937007874015748" header="0" footer="0"/>
  <pageSetup horizontalDpi="300" verticalDpi="300" orientation="landscape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11.8515625" style="0" bestFit="1" customWidth="1"/>
    <col min="2" max="2" width="18.8515625" style="0" customWidth="1"/>
    <col min="3" max="3" width="15.28125" style="0" customWidth="1"/>
    <col min="4" max="4" width="16.00390625" style="0" customWidth="1"/>
    <col min="5" max="5" width="14.421875" style="0" customWidth="1"/>
    <col min="6" max="6" width="15.7109375" style="0" customWidth="1"/>
  </cols>
  <sheetData>
    <row r="1" spans="1:6" ht="22.5">
      <c r="A1" s="238" t="s">
        <v>94</v>
      </c>
      <c r="B1" s="240"/>
      <c r="C1" s="240"/>
      <c r="D1" s="240"/>
      <c r="E1" s="240"/>
      <c r="F1" s="240"/>
    </row>
    <row r="2" spans="1:6" ht="17.25">
      <c r="A2" s="38" t="s">
        <v>39</v>
      </c>
      <c r="B2" s="38"/>
      <c r="C2" s="38"/>
      <c r="D2" s="38"/>
      <c r="E2" s="38"/>
      <c r="F2" s="141">
        <f>'opg 3 Resultatbudget'!E16</f>
        <v>6764.265599999999</v>
      </c>
    </row>
    <row r="3" spans="1:6" ht="17.25">
      <c r="A3" s="4" t="s">
        <v>95</v>
      </c>
      <c r="B3" s="4"/>
      <c r="C3" s="4"/>
      <c r="D3" s="142" t="s">
        <v>96</v>
      </c>
      <c r="E3" s="142" t="s">
        <v>97</v>
      </c>
      <c r="F3" s="143"/>
    </row>
    <row r="4" spans="1:6" ht="17.25">
      <c r="A4" s="239" t="str">
        <f>'opg 3 Balance'!A15</f>
        <v>Varelager</v>
      </c>
      <c r="B4" s="239"/>
      <c r="C4" s="4"/>
      <c r="D4" s="143">
        <f>'opg 3 Balance'!B15</f>
        <v>4008</v>
      </c>
      <c r="E4" s="143">
        <f>'opg 3 Balance'!E15</f>
        <v>4961.4336</v>
      </c>
      <c r="F4" s="143">
        <f aca="true" t="shared" si="0" ref="F4:F10">D4-E4</f>
        <v>-953.4336000000003</v>
      </c>
    </row>
    <row r="5" spans="1:6" ht="17.25" hidden="1">
      <c r="A5" s="239" t="str">
        <f>'opg 3 Balance'!A16</f>
        <v>-</v>
      </c>
      <c r="B5" s="239"/>
      <c r="C5" s="4"/>
      <c r="D5" s="143">
        <f>'opg 3 Balance'!B16</f>
        <v>0</v>
      </c>
      <c r="E5" s="143">
        <f>'opg 3 Balance'!E16</f>
        <v>0</v>
      </c>
      <c r="F5" s="143">
        <f t="shared" si="0"/>
        <v>0</v>
      </c>
    </row>
    <row r="6" spans="1:6" ht="17.25" hidden="1">
      <c r="A6" s="239" t="str">
        <f>'opg 3 Balance'!A17</f>
        <v>-</v>
      </c>
      <c r="B6" s="239"/>
      <c r="C6" s="4"/>
      <c r="D6" s="143">
        <f>'opg 3 Balance'!B17</f>
        <v>0</v>
      </c>
      <c r="E6" s="143">
        <f>'opg 3 Balance'!E17</f>
        <v>0</v>
      </c>
      <c r="F6" s="143">
        <f t="shared" si="0"/>
        <v>0</v>
      </c>
    </row>
    <row r="7" spans="1:6" ht="17.25">
      <c r="A7" s="239" t="str">
        <f>'opg 3 Balance'!A18</f>
        <v>Varedebitorer</v>
      </c>
      <c r="B7" s="239"/>
      <c r="C7" s="4"/>
      <c r="D7" s="143">
        <f>'opg 3 Balance'!B18</f>
        <v>10000</v>
      </c>
      <c r="E7" s="143">
        <f>'opg 3 Balance'!E18</f>
        <v>10670</v>
      </c>
      <c r="F7" s="143">
        <f t="shared" si="0"/>
        <v>-670</v>
      </c>
    </row>
    <row r="8" spans="1:6" ht="17.25" hidden="1">
      <c r="A8" s="239" t="str">
        <f>'opg 3 Balance'!A19</f>
        <v>Periodeafg.</v>
      </c>
      <c r="B8" s="239"/>
      <c r="C8" s="4"/>
      <c r="D8" s="143">
        <f>'opg 3 Balance'!B19</f>
        <v>0</v>
      </c>
      <c r="E8" s="143">
        <f>'opg 3 Balance'!E19</f>
        <v>0</v>
      </c>
      <c r="F8" s="143">
        <f t="shared" si="0"/>
        <v>0</v>
      </c>
    </row>
    <row r="9" spans="1:6" ht="17.25" hidden="1">
      <c r="A9" s="239" t="str">
        <f>'opg 3 Balance'!A20</f>
        <v>Værdipapirer</v>
      </c>
      <c r="B9" s="239"/>
      <c r="C9" s="4"/>
      <c r="D9" s="143">
        <f>'opg 3 Balance'!B20</f>
        <v>0</v>
      </c>
      <c r="E9" s="143">
        <f>'opg 3 Balance'!E20</f>
        <v>0</v>
      </c>
      <c r="F9" s="143">
        <f t="shared" si="0"/>
        <v>0</v>
      </c>
    </row>
    <row r="10" spans="1:6" ht="17.25" hidden="1">
      <c r="A10" s="239" t="str">
        <f>'opg 3 Balance'!A21</f>
        <v>Andre debitorer</v>
      </c>
      <c r="B10" s="239"/>
      <c r="C10" s="4"/>
      <c r="D10" s="143">
        <f>'opg 3 Balance'!B21</f>
        <v>0</v>
      </c>
      <c r="E10" s="143">
        <f>'opg 3 Balance'!E21</f>
        <v>0</v>
      </c>
      <c r="F10" s="143">
        <f t="shared" si="0"/>
        <v>0</v>
      </c>
    </row>
    <row r="11" spans="1:6" ht="17.25">
      <c r="A11" s="4" t="s">
        <v>98</v>
      </c>
      <c r="B11" s="4"/>
      <c r="C11" s="4"/>
      <c r="D11" s="143"/>
      <c r="E11" s="143"/>
      <c r="F11" s="143"/>
    </row>
    <row r="12" spans="1:6" ht="17.25">
      <c r="A12" s="239" t="str">
        <f>'opg 3 Balance'!F15</f>
        <v>Varekreditorer</v>
      </c>
      <c r="B12" s="239"/>
      <c r="C12" s="4"/>
      <c r="D12" s="143">
        <f>'opg 3 Balance'!G15</f>
        <v>5179</v>
      </c>
      <c r="E12" s="143">
        <f>'opg 3 Balance'!I15</f>
        <v>4159.8336</v>
      </c>
      <c r="F12" s="143">
        <f aca="true" t="shared" si="1" ref="F12:F17">E12-D12</f>
        <v>-1019.1664000000001</v>
      </c>
    </row>
    <row r="13" spans="1:6" ht="17.25" hidden="1">
      <c r="A13" s="239" t="str">
        <f>'opg 3 Balance'!F16</f>
        <v>Realkreditinstitutter</v>
      </c>
      <c r="B13" s="239"/>
      <c r="C13" s="4"/>
      <c r="D13" s="143">
        <f>'opg 3 Balance'!G16</f>
        <v>0</v>
      </c>
      <c r="E13" s="143">
        <f>'opg 3 Balance'!I16</f>
        <v>0</v>
      </c>
      <c r="F13" s="143">
        <f t="shared" si="1"/>
        <v>0</v>
      </c>
    </row>
    <row r="14" spans="1:6" ht="17.25" hidden="1">
      <c r="A14" s="239" t="str">
        <f>'opg 3 Balance'!F17</f>
        <v>Forudbetalinger</v>
      </c>
      <c r="B14" s="239"/>
      <c r="C14" s="4"/>
      <c r="D14" s="143">
        <f>'opg 3 Balance'!G17</f>
        <v>0</v>
      </c>
      <c r="E14" s="143">
        <f>'opg 3 Balance'!I17</f>
        <v>0</v>
      </c>
      <c r="F14" s="143">
        <f t="shared" si="1"/>
        <v>0</v>
      </c>
    </row>
    <row r="15" spans="1:6" ht="17.25" hidden="1">
      <c r="A15" s="239" t="str">
        <f>'opg 3 Balance'!F18</f>
        <v>Anden gæld</v>
      </c>
      <c r="B15" s="239"/>
      <c r="C15" s="4"/>
      <c r="D15" s="143">
        <f>'opg 3 Balance'!G18</f>
        <v>0</v>
      </c>
      <c r="E15" s="143">
        <f>'opg 3 Balance'!I18</f>
        <v>0</v>
      </c>
      <c r="F15" s="143">
        <f t="shared" si="1"/>
        <v>0</v>
      </c>
    </row>
    <row r="16" spans="1:6" ht="17.25" hidden="1">
      <c r="A16" s="239" t="str">
        <f>'opg 3 Balance'!F19</f>
        <v>-</v>
      </c>
      <c r="B16" s="239"/>
      <c r="C16" s="4"/>
      <c r="D16" s="143">
        <f>'opg 3 Balance'!G19</f>
        <v>0</v>
      </c>
      <c r="E16" s="143">
        <f>'opg 3 Balance'!I19</f>
        <v>0</v>
      </c>
      <c r="F16" s="143">
        <f t="shared" si="1"/>
        <v>0</v>
      </c>
    </row>
    <row r="17" spans="1:6" ht="17.25" hidden="1">
      <c r="A17" s="239" t="str">
        <f>'opg 3 Balance'!F20</f>
        <v>Øvrig kortfristet gæld</v>
      </c>
      <c r="B17" s="239"/>
      <c r="C17" s="4"/>
      <c r="D17" s="143">
        <f>'opg 3 Balance'!G20</f>
        <v>0</v>
      </c>
      <c r="E17" s="143">
        <f>'opg 3 Balance'!I20</f>
        <v>0</v>
      </c>
      <c r="F17" s="143">
        <f t="shared" si="1"/>
        <v>0</v>
      </c>
    </row>
    <row r="18" spans="1:6" ht="17.25">
      <c r="A18" s="144" t="str">
        <f>'opg 3 Resultatbudget'!A19</f>
        <v>Renteomkostninger</v>
      </c>
      <c r="B18" s="144"/>
      <c r="C18" s="4"/>
      <c r="D18" s="143"/>
      <c r="E18" s="143"/>
      <c r="F18" s="143">
        <f>'opg 3 Resultatbudget'!E19*-1</f>
        <v>-1047.2</v>
      </c>
    </row>
    <row r="19" spans="1:6" ht="17.25" hidden="1">
      <c r="A19" s="144" t="str">
        <f>'opg 3 Resultatbudget'!A20</f>
        <v>Renteindtægter</v>
      </c>
      <c r="B19" s="144"/>
      <c r="C19" s="4"/>
      <c r="D19" s="143"/>
      <c r="E19" s="143"/>
      <c r="F19" s="143">
        <f>'opg 3 Resultatbudget'!E20</f>
        <v>0</v>
      </c>
    </row>
    <row r="20" spans="1:6" ht="17.25">
      <c r="A20" s="38" t="s">
        <v>99</v>
      </c>
      <c r="B20" s="38"/>
      <c r="C20" s="38"/>
      <c r="D20" s="38"/>
      <c r="E20" s="38"/>
      <c r="F20" s="145">
        <f>SUM(F2:F19)</f>
        <v>3074.4655999999986</v>
      </c>
    </row>
    <row r="21" spans="1:6" ht="17.25">
      <c r="A21" s="4" t="s">
        <v>100</v>
      </c>
      <c r="B21" s="4"/>
      <c r="C21" s="4"/>
      <c r="D21" s="4"/>
      <c r="E21" s="4"/>
      <c r="F21" s="4"/>
    </row>
    <row r="22" spans="1:6" ht="17.25">
      <c r="A22" s="4" t="s">
        <v>101</v>
      </c>
      <c r="B22" s="4"/>
      <c r="C22" s="4"/>
      <c r="D22" s="4"/>
      <c r="E22" s="4"/>
      <c r="F22" s="4">
        <f>'opg 3 Balance'!C13*-1</f>
        <v>-3400</v>
      </c>
    </row>
    <row r="23" spans="1:6" ht="17.25">
      <c r="A23" s="38" t="s">
        <v>102</v>
      </c>
      <c r="B23" s="4"/>
      <c r="C23" s="4"/>
      <c r="D23" s="4"/>
      <c r="E23" s="4"/>
      <c r="F23" s="4"/>
    </row>
    <row r="24" spans="1:6" ht="17.25">
      <c r="A24" s="4" t="str">
        <f>'opg 3 Balance'!F10</f>
        <v>Nyt lån til investeringer</v>
      </c>
      <c r="B24" s="4"/>
      <c r="C24" s="4"/>
      <c r="D24" s="4"/>
      <c r="E24" s="4"/>
      <c r="F24" s="4">
        <f>'opg 3 Balance'!H10</f>
        <v>2040</v>
      </c>
    </row>
    <row r="25" spans="1:6" ht="17.25" hidden="1">
      <c r="A25" s="4" t="str">
        <f>'opg 3 Resultatbudget'!A38</f>
        <v>Aktie emmision</v>
      </c>
      <c r="B25" s="4"/>
      <c r="C25" s="4"/>
      <c r="D25" s="4"/>
      <c r="E25" s="4"/>
      <c r="F25" s="4">
        <f>'opg 3 Resultatbudget'!C38</f>
        <v>0</v>
      </c>
    </row>
    <row r="26" spans="1:6" ht="17.25">
      <c r="A26" s="38" t="s">
        <v>103</v>
      </c>
      <c r="B26" s="4"/>
      <c r="C26" s="4"/>
      <c r="D26" s="4"/>
      <c r="E26" s="4"/>
      <c r="F26" s="4"/>
    </row>
    <row r="27" spans="1:6" ht="17.25">
      <c r="A27" s="239" t="str">
        <f>'opg 3 Balance'!F11</f>
        <v>Prioritetegæld</v>
      </c>
      <c r="B27" s="239"/>
      <c r="C27" s="4"/>
      <c r="D27" s="4"/>
      <c r="E27" s="4"/>
      <c r="F27" s="4">
        <f>'opg 3 Balance'!H11</f>
        <v>-640</v>
      </c>
    </row>
    <row r="28" spans="1:6" ht="17.25" hidden="1">
      <c r="A28" s="239" t="str">
        <f>'opg 3 Balance'!F12</f>
        <v>Realkreditinstitutter</v>
      </c>
      <c r="B28" s="239"/>
      <c r="C28" s="4"/>
      <c r="D28" s="4"/>
      <c r="E28" s="4"/>
      <c r="F28" s="4">
        <f>'opg 3 Balance'!H12</f>
        <v>0</v>
      </c>
    </row>
    <row r="29" spans="1:6" ht="17.25" hidden="1">
      <c r="A29" s="4" t="str">
        <f>'opg 3 Balance'!F6</f>
        <v>overført overskud</v>
      </c>
      <c r="B29" s="4"/>
      <c r="C29" s="4"/>
      <c r="D29" s="4"/>
      <c r="E29" s="4"/>
      <c r="F29" s="4">
        <f>('opg 3 Balance'!I6)*-1</f>
        <v>0</v>
      </c>
    </row>
    <row r="30" spans="1:6" ht="17.25">
      <c r="A30" s="4" t="str">
        <f>IF('opg 3 Resultatbudget'!B28&gt;0,A47,"-")</f>
        <v>Udbytte udbetales 100% fra år;"2009</v>
      </c>
      <c r="B30" s="4"/>
      <c r="C30" s="4"/>
      <c r="D30" s="4"/>
      <c r="E30" s="4"/>
      <c r="F30" s="4">
        <f>'opg 3 Balance'!G21*-1</f>
        <v>-400</v>
      </c>
    </row>
    <row r="31" spans="1:6" ht="17.25" hidden="1">
      <c r="A31" s="4" t="str">
        <f>'opg 3 Resultatbudget'!A24</f>
        <v>Skat</v>
      </c>
      <c r="B31" s="4"/>
      <c r="C31" s="4"/>
      <c r="D31" s="4"/>
      <c r="E31" s="4"/>
      <c r="F31" s="146">
        <f>'opg 3 Resultatbudget'!E24*-1</f>
        <v>0</v>
      </c>
    </row>
    <row r="32" spans="1:6" ht="17.25" hidden="1">
      <c r="A32" s="4" t="str">
        <f>IF('opg 3 Resultatbudget'!C34&gt;0,"Ændring af kassekredit max.","-")</f>
        <v>-</v>
      </c>
      <c r="B32" s="4"/>
      <c r="C32" s="4"/>
      <c r="D32" s="4"/>
      <c r="E32" s="4"/>
      <c r="F32" s="147">
        <f>'opg 3 Resultatbudget'!C34</f>
        <v>0</v>
      </c>
    </row>
    <row r="33" spans="1:6" ht="17.25">
      <c r="A33" s="38" t="s">
        <v>104</v>
      </c>
      <c r="B33" s="38"/>
      <c r="C33" s="38"/>
      <c r="D33" s="38"/>
      <c r="E33" s="38"/>
      <c r="F33" s="148">
        <f>SUM(F20:F32)</f>
        <v>674.4655999999986</v>
      </c>
    </row>
    <row r="34" spans="1:6" ht="17.25">
      <c r="A34" s="4" t="s">
        <v>105</v>
      </c>
      <c r="B34" s="4"/>
      <c r="C34" s="4"/>
      <c r="D34" s="4"/>
      <c r="E34" s="4"/>
      <c r="F34" s="4"/>
    </row>
    <row r="35" spans="1:6" ht="17.25" hidden="1">
      <c r="A35" s="4" t="s">
        <v>52</v>
      </c>
      <c r="B35" s="4"/>
      <c r="C35" s="4">
        <v>2000</v>
      </c>
      <c r="D35" s="4"/>
      <c r="E35" s="4"/>
      <c r="F35" s="4"/>
    </row>
    <row r="36" spans="1:6" ht="17.25" hidden="1">
      <c r="A36" s="4" t="s">
        <v>106</v>
      </c>
      <c r="B36" s="4"/>
      <c r="C36" s="4">
        <v>1500</v>
      </c>
      <c r="D36" s="4"/>
      <c r="E36" s="4"/>
      <c r="F36" s="4"/>
    </row>
    <row r="37" spans="1:6" ht="17.25">
      <c r="A37" s="4"/>
      <c r="B37" s="4"/>
      <c r="C37" s="4" t="str">
        <f>IF('opg 3 Resultatbudget'!$B$34&gt;0,"Gæld Primo","")</f>
        <v>Gæld Primo</v>
      </c>
      <c r="D37" s="4" t="str">
        <f>IF('opg 3 Resultatbudget'!$B$34&gt;0,"Max. Primo","")</f>
        <v>Max. Primo</v>
      </c>
      <c r="E37" s="4"/>
      <c r="F37" s="4"/>
    </row>
    <row r="38" spans="1:6" ht="17.25">
      <c r="A38" s="4" t="str">
        <f>IF('opg 3 Resultatbudget'!B34&gt;0,"Kassekredit disponibel","-")</f>
        <v>Kassekredit disponibel</v>
      </c>
      <c r="B38" s="4"/>
      <c r="C38" s="4">
        <f>IF('opg 3 Resultatbudget'!B34&gt;0,'opg 3 Resultatbudget'!B34,"")</f>
        <v>42</v>
      </c>
      <c r="D38" s="4">
        <f>IF('opg 3 Resultatbudget'!B34&gt;0,'opg 3 Balance'!G22,"")</f>
        <v>1125</v>
      </c>
      <c r="E38" s="4"/>
      <c r="F38" s="4">
        <f>IF('opg 3 Resultatbudget'!B34&gt;0,C38-D38,0)</f>
        <v>-1083</v>
      </c>
    </row>
    <row r="39" spans="1:6" ht="17.25">
      <c r="A39" s="149" t="s">
        <v>107</v>
      </c>
      <c r="B39" s="4"/>
      <c r="C39" s="4"/>
      <c r="D39" s="4"/>
      <c r="E39" s="4"/>
      <c r="F39" s="4">
        <f>'opg 3 Balance'!B22</f>
        <v>609</v>
      </c>
    </row>
    <row r="40" spans="1:6" ht="18" thickBot="1">
      <c r="A40" s="38" t="s">
        <v>108</v>
      </c>
      <c r="B40" s="38"/>
      <c r="C40" s="38"/>
      <c r="D40" s="38"/>
      <c r="E40" s="38"/>
      <c r="F40" s="150">
        <f>SUM(F33:F39)</f>
        <v>200.46559999999863</v>
      </c>
    </row>
    <row r="41" spans="1:6" ht="18" thickTop="1">
      <c r="A41" s="4"/>
      <c r="B41" s="4"/>
      <c r="C41" s="4"/>
      <c r="D41" s="4"/>
      <c r="E41" s="4"/>
      <c r="F41" s="4"/>
    </row>
    <row r="47" ht="17.25" hidden="1">
      <c r="A47" s="4" t="str">
        <f>(CONCATENATE("Udbytte udbetales 100% fra år;""",'opg 3 Resultatbudget'!B2))</f>
        <v>Udbytte udbetales 100% fra år;"2009</v>
      </c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7.25">
      <c r="A52" s="151"/>
      <c r="B52" s="151"/>
      <c r="C52" s="151"/>
      <c r="D52" s="2"/>
    </row>
    <row r="53" spans="1:4" ht="17.25">
      <c r="A53" s="152"/>
      <c r="B53" s="151"/>
      <c r="C53" s="153"/>
      <c r="D53" s="2"/>
    </row>
    <row r="54" spans="1:4" ht="17.25">
      <c r="A54" s="152"/>
      <c r="B54" s="151"/>
      <c r="C54" s="153"/>
      <c r="D54" s="2"/>
    </row>
    <row r="55" spans="1:4" ht="17.25">
      <c r="A55" s="152"/>
      <c r="B55" s="151"/>
      <c r="C55" s="153"/>
      <c r="D55" s="2"/>
    </row>
    <row r="56" spans="1:4" ht="17.25">
      <c r="A56" s="152"/>
      <c r="B56" s="151"/>
      <c r="C56" s="153"/>
      <c r="D56" s="2"/>
    </row>
    <row r="57" spans="1:4" ht="17.25">
      <c r="A57" s="151"/>
      <c r="B57" s="151"/>
      <c r="C57" s="153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</sheetData>
  <sheetProtection/>
  <mergeCells count="16">
    <mergeCell ref="A1:F1"/>
    <mergeCell ref="A4:B4"/>
    <mergeCell ref="A5:B5"/>
    <mergeCell ref="A6:B6"/>
    <mergeCell ref="A7:B7"/>
    <mergeCell ref="A8:B8"/>
    <mergeCell ref="A16:B16"/>
    <mergeCell ref="A17:B17"/>
    <mergeCell ref="A27:B27"/>
    <mergeCell ref="A28:B28"/>
    <mergeCell ref="A9:B9"/>
    <mergeCell ref="A10:B10"/>
    <mergeCell ref="A12:B12"/>
    <mergeCell ref="A13:B13"/>
    <mergeCell ref="A14:B14"/>
    <mergeCell ref="A15:B15"/>
  </mergeCells>
  <printOptions/>
  <pageMargins left="0.5905511811023623" right="0.5905511811023623" top="0.5905511811023623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140" zoomScaleNormal="140" zoomScalePageLayoutView="0" workbookViewId="0" topLeftCell="A1">
      <selection activeCell="C20" sqref="C20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5.140625" style="0" bestFit="1" customWidth="1"/>
    <col min="4" max="4" width="12.140625" style="0" bestFit="1" customWidth="1"/>
    <col min="5" max="5" width="14.28125" style="0" customWidth="1"/>
    <col min="6" max="6" width="18.28125" style="0" customWidth="1"/>
    <col min="7" max="7" width="14.7109375" style="0" customWidth="1"/>
    <col min="8" max="8" width="14.28125" style="0" bestFit="1" customWidth="1"/>
  </cols>
  <sheetData>
    <row r="1" ht="13.5" thickBot="1">
      <c r="A1" s="177" t="s">
        <v>109</v>
      </c>
    </row>
    <row r="2" spans="1:8" ht="12.75">
      <c r="A2" s="244" t="s">
        <v>141</v>
      </c>
      <c r="B2" s="245"/>
      <c r="C2" s="245"/>
      <c r="D2" s="245"/>
      <c r="E2" s="245"/>
      <c r="F2" s="245"/>
      <c r="G2" s="245"/>
      <c r="H2" s="246"/>
    </row>
    <row r="3" spans="1:8" ht="13.5" customHeight="1" thickBot="1">
      <c r="A3" s="178"/>
      <c r="B3" s="179"/>
      <c r="C3" s="179"/>
      <c r="D3" s="180"/>
      <c r="E3" s="180"/>
      <c r="F3" s="247" t="s">
        <v>110</v>
      </c>
      <c r="G3" s="247"/>
      <c r="H3" s="248"/>
    </row>
    <row r="4" spans="1:8" ht="25.5">
      <c r="A4" s="181"/>
      <c r="B4" s="182" t="s">
        <v>111</v>
      </c>
      <c r="C4" s="182" t="s">
        <v>112</v>
      </c>
      <c r="D4" s="182" t="s">
        <v>113</v>
      </c>
      <c r="E4" s="182" t="s">
        <v>114</v>
      </c>
      <c r="F4" s="156" t="s">
        <v>115</v>
      </c>
      <c r="G4" s="156" t="s">
        <v>116</v>
      </c>
      <c r="H4" s="183" t="s">
        <v>117</v>
      </c>
    </row>
    <row r="5" spans="1:8" ht="12.75">
      <c r="A5" s="25" t="s">
        <v>118</v>
      </c>
      <c r="B5" s="85">
        <v>5100</v>
      </c>
      <c r="C5" s="85">
        <f>1733000/B5</f>
        <v>339.80392156862746</v>
      </c>
      <c r="D5" s="85">
        <v>5100</v>
      </c>
      <c r="E5" s="85">
        <v>340</v>
      </c>
      <c r="F5" s="184">
        <f>E5*B5</f>
        <v>1734000</v>
      </c>
      <c r="G5" s="184">
        <f>E5*D5</f>
        <v>1734000</v>
      </c>
      <c r="H5" s="185">
        <f>F5-G5</f>
        <v>0</v>
      </c>
    </row>
    <row r="6" spans="1:8" ht="12.75">
      <c r="A6" s="25" t="s">
        <v>119</v>
      </c>
      <c r="B6" s="85">
        <f>B5</f>
        <v>5100</v>
      </c>
      <c r="C6" s="85">
        <f>C5</f>
        <v>339.80392156862746</v>
      </c>
      <c r="D6" s="85">
        <f>D5</f>
        <v>5100</v>
      </c>
      <c r="E6" s="85">
        <v>213</v>
      </c>
      <c r="F6" s="184">
        <f>E6*B6</f>
        <v>1086300</v>
      </c>
      <c r="G6" s="184">
        <f>E6*D6</f>
        <v>1086300</v>
      </c>
      <c r="H6" s="185">
        <f>G6-F6</f>
        <v>0</v>
      </c>
    </row>
    <row r="7" spans="1:8" ht="12.75">
      <c r="A7" s="25" t="s">
        <v>120</v>
      </c>
      <c r="B7" s="85"/>
      <c r="C7" s="85"/>
      <c r="D7" s="85"/>
      <c r="E7" s="85"/>
      <c r="F7" s="184">
        <f>F5-F6</f>
        <v>647700</v>
      </c>
      <c r="G7" s="184">
        <f>G5-G6</f>
        <v>647700</v>
      </c>
      <c r="H7" s="185">
        <f>F7-G7</f>
        <v>0</v>
      </c>
    </row>
    <row r="8" spans="1:8" ht="12.75">
      <c r="A8" s="25" t="s">
        <v>121</v>
      </c>
      <c r="B8" s="85">
        <f>B6</f>
        <v>5100</v>
      </c>
      <c r="C8" s="85">
        <f>C6</f>
        <v>339.80392156862746</v>
      </c>
      <c r="D8" s="85">
        <f>D6</f>
        <v>5100</v>
      </c>
      <c r="E8" s="85">
        <v>17</v>
      </c>
      <c r="F8" s="184">
        <f>E8*B8</f>
        <v>86700</v>
      </c>
      <c r="G8" s="184">
        <f>E8*D8</f>
        <v>86700</v>
      </c>
      <c r="H8" s="185">
        <f>G8-F8</f>
        <v>0</v>
      </c>
    </row>
    <row r="9" spans="1:8" ht="13.5" thickBot="1">
      <c r="A9" s="178" t="s">
        <v>142</v>
      </c>
      <c r="B9" s="179"/>
      <c r="C9" s="179"/>
      <c r="D9" s="179"/>
      <c r="E9" s="179"/>
      <c r="F9" s="186">
        <f>F7-F8</f>
        <v>561000</v>
      </c>
      <c r="G9" s="186">
        <f>G7-G8</f>
        <v>561000</v>
      </c>
      <c r="H9" s="187">
        <f>F9-G9</f>
        <v>0</v>
      </c>
    </row>
    <row r="10" spans="1:8" ht="13.5" thickBot="1">
      <c r="A10" s="25"/>
      <c r="B10" s="85"/>
      <c r="C10" s="85"/>
      <c r="D10" s="85"/>
      <c r="E10" s="85"/>
      <c r="F10" s="184"/>
      <c r="G10" s="184"/>
      <c r="H10" s="185"/>
    </row>
    <row r="11" spans="1:8" ht="25.5">
      <c r="A11" s="181"/>
      <c r="B11" s="182" t="s">
        <v>111</v>
      </c>
      <c r="C11" s="182" t="s">
        <v>112</v>
      </c>
      <c r="D11" s="182" t="s">
        <v>113</v>
      </c>
      <c r="E11" s="182" t="s">
        <v>114</v>
      </c>
      <c r="F11" s="156" t="s">
        <v>115</v>
      </c>
      <c r="G11" s="156" t="s">
        <v>116</v>
      </c>
      <c r="H11" s="183" t="s">
        <v>117</v>
      </c>
    </row>
    <row r="12" spans="1:8" ht="12.75">
      <c r="A12" s="25" t="s">
        <v>118</v>
      </c>
      <c r="B12" s="85">
        <v>4800</v>
      </c>
      <c r="C12" s="85">
        <f>1970000/B12</f>
        <v>410.4166666666667</v>
      </c>
      <c r="D12" s="85">
        <v>5200</v>
      </c>
      <c r="E12" s="85">
        <v>410</v>
      </c>
      <c r="F12" s="184">
        <f>E12*B12</f>
        <v>1968000</v>
      </c>
      <c r="G12" s="184">
        <f>E12*D12</f>
        <v>2132000</v>
      </c>
      <c r="H12" s="185">
        <f>F12-G12</f>
        <v>-164000</v>
      </c>
    </row>
    <row r="13" spans="1:8" ht="12.75">
      <c r="A13" s="25" t="s">
        <v>119</v>
      </c>
      <c r="B13" s="85">
        <f>B12</f>
        <v>4800</v>
      </c>
      <c r="C13" s="85">
        <f>C12</f>
        <v>410.4166666666667</v>
      </c>
      <c r="D13" s="85">
        <f>D12</f>
        <v>5200</v>
      </c>
      <c r="E13" s="85">
        <v>243</v>
      </c>
      <c r="F13" s="184">
        <f>E13*B13</f>
        <v>1166400</v>
      </c>
      <c r="G13" s="184">
        <f>E13*D13</f>
        <v>1263600</v>
      </c>
      <c r="H13" s="185">
        <f>G13-F13</f>
        <v>97200</v>
      </c>
    </row>
    <row r="14" spans="1:8" ht="12.75">
      <c r="A14" s="25" t="s">
        <v>120</v>
      </c>
      <c r="B14" s="85"/>
      <c r="C14" s="85"/>
      <c r="D14" s="85"/>
      <c r="E14" s="85"/>
      <c r="F14" s="184">
        <f>F12-F13</f>
        <v>801600</v>
      </c>
      <c r="G14" s="184">
        <f>G12-G13</f>
        <v>868400</v>
      </c>
      <c r="H14" s="185">
        <f>F14-G14</f>
        <v>-66800</v>
      </c>
    </row>
    <row r="15" spans="1:8" ht="12.75">
      <c r="A15" s="25" t="s">
        <v>121</v>
      </c>
      <c r="B15" s="85">
        <f>B13</f>
        <v>4800</v>
      </c>
      <c r="C15" s="85">
        <f>C13</f>
        <v>410.4166666666667</v>
      </c>
      <c r="D15" s="85">
        <f>D13</f>
        <v>5200</v>
      </c>
      <c r="E15" s="85">
        <v>17</v>
      </c>
      <c r="F15" s="184">
        <f>E15*B15</f>
        <v>81600</v>
      </c>
      <c r="G15" s="184">
        <f>E15*D15</f>
        <v>88400</v>
      </c>
      <c r="H15" s="185">
        <f>G15-F15</f>
        <v>6800</v>
      </c>
    </row>
    <row r="16" spans="1:8" ht="13.5" thickBot="1">
      <c r="A16" s="178" t="s">
        <v>143</v>
      </c>
      <c r="B16" s="179"/>
      <c r="C16" s="179"/>
      <c r="D16" s="179"/>
      <c r="E16" s="179"/>
      <c r="F16" s="186">
        <f>F14-F15</f>
        <v>720000</v>
      </c>
      <c r="G16" s="186">
        <f>G14-G15</f>
        <v>780000</v>
      </c>
      <c r="H16" s="187">
        <f>F16-G16</f>
        <v>-60000</v>
      </c>
    </row>
    <row r="17" spans="1:8" ht="12.75">
      <c r="A17" s="181" t="s">
        <v>144</v>
      </c>
      <c r="B17" s="188"/>
      <c r="C17" s="245" t="s">
        <v>122</v>
      </c>
      <c r="D17" s="245"/>
      <c r="E17" s="245"/>
      <c r="F17" s="189"/>
      <c r="G17" s="189"/>
      <c r="H17" s="190"/>
    </row>
    <row r="18" spans="1:8" ht="13.5" thickBot="1">
      <c r="A18" s="191" t="str">
        <f>CONCATENATE("Kan regnes som ",C5," - ",E5," gange ",B5)</f>
        <v>Kan regnes som 339,803921568627 - 340 gange 5100</v>
      </c>
      <c r="B18" s="179"/>
      <c r="C18" s="192">
        <f>C5*B5</f>
        <v>1733000</v>
      </c>
      <c r="D18" s="179" t="str">
        <f>CONCATENATE("-  (",B5," * ",E5,")")</f>
        <v>-  (5100 * 340)</v>
      </c>
      <c r="E18" s="179"/>
      <c r="F18" s="186">
        <f>B5*C5-(B5*E5)</f>
        <v>-1000</v>
      </c>
      <c r="G18" s="186"/>
      <c r="H18" s="187">
        <f>F18</f>
        <v>-1000</v>
      </c>
    </row>
    <row r="19" spans="1:8" ht="12.75">
      <c r="A19" s="181" t="s">
        <v>145</v>
      </c>
      <c r="B19" s="188"/>
      <c r="C19" s="245" t="s">
        <v>122</v>
      </c>
      <c r="D19" s="245"/>
      <c r="E19" s="245"/>
      <c r="F19" s="189"/>
      <c r="G19" s="189"/>
      <c r="H19" s="190"/>
    </row>
    <row r="20" spans="1:8" ht="13.5" thickBot="1">
      <c r="A20" s="191"/>
      <c r="B20" s="179"/>
      <c r="C20" s="192">
        <f>C12*B12</f>
        <v>1970000</v>
      </c>
      <c r="D20" s="179" t="str">
        <f>CONCATENATE("-  (",B12," * ",E12,")")</f>
        <v>-  (4800 * 410)</v>
      </c>
      <c r="E20" s="179"/>
      <c r="F20" s="186">
        <f>B12*C12-(B12*E12)</f>
        <v>2000</v>
      </c>
      <c r="G20" s="186"/>
      <c r="H20" s="187">
        <f>F20</f>
        <v>2000</v>
      </c>
    </row>
    <row r="21" spans="1:8" ht="12.75">
      <c r="A21" s="181" t="s">
        <v>146</v>
      </c>
      <c r="B21" s="188"/>
      <c r="C21" s="188"/>
      <c r="D21" s="188"/>
      <c r="E21" s="188"/>
      <c r="F21" s="189"/>
      <c r="G21" s="189"/>
      <c r="H21" s="190"/>
    </row>
    <row r="22" spans="1:8" ht="13.5" thickBot="1">
      <c r="A22" s="178"/>
      <c r="B22" s="179"/>
      <c r="C22" s="179"/>
      <c r="D22" s="179"/>
      <c r="E22" s="179"/>
      <c r="F22" s="186">
        <f>H50</f>
        <v>-28200</v>
      </c>
      <c r="G22" s="186"/>
      <c r="H22" s="187">
        <f>F22</f>
        <v>-28200</v>
      </c>
    </row>
    <row r="23" spans="1:8" ht="13.5" thickBot="1">
      <c r="A23" s="57" t="s">
        <v>147</v>
      </c>
      <c r="B23" s="2"/>
      <c r="C23" s="2"/>
      <c r="D23" s="2"/>
      <c r="E23" s="2"/>
      <c r="F23" s="157">
        <f>H23</f>
        <v>-4200</v>
      </c>
      <c r="G23" s="157"/>
      <c r="H23" s="158">
        <f>SUM(B43:E43)</f>
        <v>-4200</v>
      </c>
    </row>
    <row r="24" spans="1:8" ht="13.5" hidden="1" thickBot="1">
      <c r="A24" s="57"/>
      <c r="B24" s="2"/>
      <c r="C24" s="2"/>
      <c r="D24" s="2"/>
      <c r="E24" s="2"/>
      <c r="F24" s="157"/>
      <c r="G24" s="157"/>
      <c r="H24" s="158"/>
    </row>
    <row r="25" spans="1:8" ht="13.5" hidden="1" thickBot="1">
      <c r="A25" s="154"/>
      <c r="B25" s="134"/>
      <c r="C25" s="134"/>
      <c r="D25" s="134"/>
      <c r="E25" s="134"/>
      <c r="F25" s="159"/>
      <c r="G25" s="159"/>
      <c r="H25" s="160"/>
    </row>
    <row r="26" spans="1:8" ht="12.75">
      <c r="A26" s="181" t="s">
        <v>148</v>
      </c>
      <c r="B26" s="188"/>
      <c r="C26" s="245" t="s">
        <v>123</v>
      </c>
      <c r="D26" s="245"/>
      <c r="E26" s="245"/>
      <c r="F26" s="188"/>
      <c r="G26" s="188"/>
      <c r="H26" s="183"/>
    </row>
    <row r="27" spans="1:8" ht="13.5" thickBot="1">
      <c r="A27" s="191"/>
      <c r="B27" s="179"/>
      <c r="C27" s="179">
        <v>87000</v>
      </c>
      <c r="D27" s="179" t="str">
        <f>CONCATENATE("- ",F8,)</f>
        <v>- 86700</v>
      </c>
      <c r="E27" s="179"/>
      <c r="F27" s="186">
        <f>F8-C27</f>
        <v>-300</v>
      </c>
      <c r="G27" s="179"/>
      <c r="H27" s="187">
        <f>F27</f>
        <v>-300</v>
      </c>
    </row>
    <row r="28" spans="1:9" ht="12.75">
      <c r="A28" s="181" t="s">
        <v>149</v>
      </c>
      <c r="B28" s="188"/>
      <c r="C28" s="245" t="s">
        <v>123</v>
      </c>
      <c r="D28" s="245"/>
      <c r="E28" s="245"/>
      <c r="F28" s="188"/>
      <c r="G28" s="188"/>
      <c r="H28" s="183"/>
      <c r="I28" s="161"/>
    </row>
    <row r="29" spans="1:8" ht="13.5" thickBot="1">
      <c r="A29" s="191"/>
      <c r="B29" s="179"/>
      <c r="C29" s="179">
        <v>81900</v>
      </c>
      <c r="D29" s="179" t="str">
        <f>CONCATENATE("- ",F15,)</f>
        <v>- 81600</v>
      </c>
      <c r="E29" s="179"/>
      <c r="F29" s="186">
        <f>F15-C29</f>
        <v>-300</v>
      </c>
      <c r="G29" s="179"/>
      <c r="H29" s="187">
        <f>F29</f>
        <v>-300</v>
      </c>
    </row>
    <row r="30" spans="1:8" ht="13.5" thickBot="1">
      <c r="A30" s="193" t="s">
        <v>150</v>
      </c>
      <c r="B30" s="194"/>
      <c r="C30" s="194"/>
      <c r="D30" s="194"/>
      <c r="E30" s="194"/>
      <c r="F30" s="195"/>
      <c r="G30" s="195"/>
      <c r="H30" s="196">
        <f>H29+H27+H23+H22+H20+H18+H16+H9</f>
        <v>-92000</v>
      </c>
    </row>
    <row r="31" spans="1:8" ht="12.75" hidden="1">
      <c r="A31" s="25"/>
      <c r="B31" s="85"/>
      <c r="C31" s="85"/>
      <c r="D31" s="85"/>
      <c r="E31" s="85"/>
      <c r="F31" s="184"/>
      <c r="G31" s="184"/>
      <c r="H31" s="185"/>
    </row>
    <row r="32" spans="1:8" ht="13.5" hidden="1" thickBot="1">
      <c r="A32" s="178"/>
      <c r="B32" s="179"/>
      <c r="C32" s="179"/>
      <c r="D32" s="179"/>
      <c r="E32" s="179"/>
      <c r="F32" s="186"/>
      <c r="G32" s="186"/>
      <c r="H32" s="187"/>
    </row>
    <row r="33" spans="1:8" ht="13.5" thickBot="1">
      <c r="A33" s="25" t="s">
        <v>124</v>
      </c>
      <c r="F33" s="161"/>
      <c r="G33" s="161"/>
      <c r="H33" s="161"/>
    </row>
    <row r="34" spans="1:8" ht="12.75">
      <c r="A34" s="155" t="str">
        <f>CONCATENATE(A23)</f>
        <v>Produktionsafvigelsen</v>
      </c>
      <c r="B34" s="197" t="s">
        <v>151</v>
      </c>
      <c r="C34" s="198" t="s">
        <v>152</v>
      </c>
      <c r="D34" s="198" t="s">
        <v>153</v>
      </c>
      <c r="E34" s="162" t="s">
        <v>154</v>
      </c>
      <c r="F34" s="241" t="s">
        <v>155</v>
      </c>
      <c r="G34" s="242"/>
      <c r="H34" s="243"/>
    </row>
    <row r="35" spans="1:8" ht="12.75">
      <c r="A35" s="57" t="s">
        <v>96</v>
      </c>
      <c r="B35" s="199">
        <f>2*250*0.4</f>
        <v>200</v>
      </c>
      <c r="C35" s="200">
        <f>3*200*0.4</f>
        <v>240</v>
      </c>
      <c r="D35" s="200">
        <f>(250*0.75*0.4)+(200*0.5*0.4)</f>
        <v>115</v>
      </c>
      <c r="E35" s="163">
        <v>0</v>
      </c>
      <c r="F35" s="164" t="str">
        <f>A35</f>
        <v>Primo</v>
      </c>
      <c r="G35" s="165"/>
      <c r="H35" s="163">
        <v>0</v>
      </c>
    </row>
    <row r="36" spans="1:8" ht="12.75">
      <c r="A36" s="109" t="s">
        <v>125</v>
      </c>
      <c r="B36" s="199">
        <v>13263</v>
      </c>
      <c r="C36" s="200">
        <v>11987</v>
      </c>
      <c r="D36" s="200">
        <v>6300</v>
      </c>
      <c r="E36" s="163">
        <v>10100</v>
      </c>
      <c r="F36" s="164" t="str">
        <f>A36</f>
        <v>+ tilgang</v>
      </c>
      <c r="G36" s="165"/>
      <c r="H36" s="163">
        <v>10200</v>
      </c>
    </row>
    <row r="37" spans="1:8" ht="12.75">
      <c r="A37" s="109" t="s">
        <v>126</v>
      </c>
      <c r="B37" s="199">
        <f>5200*2</f>
        <v>10400</v>
      </c>
      <c r="C37" s="200">
        <f>3*4700</f>
        <v>14100</v>
      </c>
      <c r="D37" s="200">
        <f>(0.75*5200)+(0.5*4700)</f>
        <v>6250</v>
      </c>
      <c r="E37" s="163">
        <f>5200+4700</f>
        <v>9900</v>
      </c>
      <c r="F37" s="164" t="str">
        <f>CONCATENATE(A37,", solgt")</f>
        <v>- afgang, solgt</v>
      </c>
      <c r="G37" s="165"/>
      <c r="H37" s="166">
        <v>10100</v>
      </c>
    </row>
    <row r="38" spans="1:8" ht="12.75">
      <c r="A38" s="109" t="s">
        <v>127</v>
      </c>
      <c r="B38" s="201">
        <f>B35+B36-B37</f>
        <v>3063</v>
      </c>
      <c r="C38" s="202">
        <f>C35+C36-C37</f>
        <v>-1873</v>
      </c>
      <c r="D38" s="202">
        <f>D35+D36-D37</f>
        <v>165</v>
      </c>
      <c r="E38" s="166">
        <f>E35+E36-E37</f>
        <v>200</v>
      </c>
      <c r="F38" s="164" t="s">
        <v>128</v>
      </c>
      <c r="G38" s="165"/>
      <c r="H38" s="167">
        <f>H35+H36-H37</f>
        <v>100</v>
      </c>
    </row>
    <row r="39" spans="1:8" ht="13.5" thickBot="1">
      <c r="A39" s="109" t="s">
        <v>129</v>
      </c>
      <c r="B39" s="199">
        <f>(2*200)</f>
        <v>400</v>
      </c>
      <c r="C39" s="200">
        <f>(3*260)</f>
        <v>780</v>
      </c>
      <c r="D39" s="200">
        <f>(0.5*0.75*200)+(0.5*0.5*260)</f>
        <v>140</v>
      </c>
      <c r="E39" s="163">
        <v>0</v>
      </c>
      <c r="F39" s="170" t="s">
        <v>130</v>
      </c>
      <c r="G39" s="171"/>
      <c r="H39" s="203">
        <v>100</v>
      </c>
    </row>
    <row r="40" spans="1:8" ht="12.75">
      <c r="A40" s="109" t="s">
        <v>131</v>
      </c>
      <c r="B40" s="201">
        <f>B39-B38</f>
        <v>-2663</v>
      </c>
      <c r="C40" s="202">
        <f>C39-C38</f>
        <v>2653</v>
      </c>
      <c r="D40" s="202">
        <f>D39-D38</f>
        <v>-25</v>
      </c>
      <c r="E40" s="166">
        <f>E39-E38</f>
        <v>-200</v>
      </c>
      <c r="F40" s="164"/>
      <c r="G40" s="165"/>
      <c r="H40" s="166"/>
    </row>
    <row r="41" spans="1:8" ht="12.75">
      <c r="A41" s="109" t="s">
        <v>132</v>
      </c>
      <c r="B41" s="199">
        <v>60</v>
      </c>
      <c r="C41" s="200">
        <v>60</v>
      </c>
      <c r="D41" s="200">
        <v>120</v>
      </c>
      <c r="E41" s="163">
        <v>3</v>
      </c>
      <c r="F41" s="164"/>
      <c r="G41" s="204"/>
      <c r="H41" s="166"/>
    </row>
    <row r="42" spans="1:8" ht="12.75">
      <c r="A42" s="109" t="s">
        <v>133</v>
      </c>
      <c r="B42" s="199">
        <v>2</v>
      </c>
      <c r="C42" s="200">
        <v>3</v>
      </c>
      <c r="D42" s="200">
        <v>0</v>
      </c>
      <c r="E42" s="163">
        <v>1</v>
      </c>
      <c r="F42" s="168"/>
      <c r="G42" s="205"/>
      <c r="H42" s="166"/>
    </row>
    <row r="43" spans="1:8" ht="13.5" thickBot="1">
      <c r="A43" s="169" t="s">
        <v>134</v>
      </c>
      <c r="B43" s="206">
        <f>B41*B40</f>
        <v>-159780</v>
      </c>
      <c r="C43" s="207">
        <f>C41*C40</f>
        <v>159180</v>
      </c>
      <c r="D43" s="207">
        <f>D41*D40</f>
        <v>-3000</v>
      </c>
      <c r="E43" s="172">
        <f>E41*E40</f>
        <v>-600</v>
      </c>
      <c r="F43" s="170"/>
      <c r="G43" s="171"/>
      <c r="H43" s="172">
        <f>SUM(B43:G43)</f>
        <v>-4200</v>
      </c>
    </row>
    <row r="44" spans="1:8" ht="12.75">
      <c r="A44" s="174" t="s">
        <v>156</v>
      </c>
      <c r="B44" s="188"/>
      <c r="C44" s="208" t="s">
        <v>157</v>
      </c>
      <c r="D44" s="208" t="s">
        <v>158</v>
      </c>
      <c r="E44" s="208" t="s">
        <v>159</v>
      </c>
      <c r="F44" s="209"/>
      <c r="G44" s="209"/>
      <c r="H44" s="190" t="s">
        <v>136</v>
      </c>
    </row>
    <row r="45" spans="1:8" ht="12.75">
      <c r="A45" s="175" t="s">
        <v>137</v>
      </c>
      <c r="B45" s="85"/>
      <c r="C45" s="210">
        <v>1725000</v>
      </c>
      <c r="D45" s="210">
        <v>760000</v>
      </c>
      <c r="E45" s="210">
        <v>30800</v>
      </c>
      <c r="F45" s="211"/>
      <c r="G45" s="211"/>
      <c r="H45" s="212"/>
    </row>
    <row r="46" spans="1:8" ht="12.75">
      <c r="A46" s="175" t="s">
        <v>138</v>
      </c>
      <c r="B46" s="85"/>
      <c r="C46" s="210">
        <v>28550</v>
      </c>
      <c r="D46" s="210">
        <v>6200</v>
      </c>
      <c r="E46" s="210">
        <v>10200</v>
      </c>
      <c r="F46" s="211"/>
      <c r="G46" s="211"/>
      <c r="H46" s="212"/>
    </row>
    <row r="47" spans="1:8" ht="12.75">
      <c r="A47" s="175" t="s">
        <v>139</v>
      </c>
      <c r="B47" s="85"/>
      <c r="C47" s="210">
        <f>C46*C48</f>
        <v>1713000</v>
      </c>
      <c r="D47" s="210">
        <f>D46*D48</f>
        <v>744000</v>
      </c>
      <c r="E47" s="210">
        <f>E46*E48</f>
        <v>30600</v>
      </c>
      <c r="F47" s="211"/>
      <c r="G47" s="211"/>
      <c r="H47" s="212"/>
    </row>
    <row r="48" spans="1:8" ht="12.75">
      <c r="A48" s="175" t="s">
        <v>132</v>
      </c>
      <c r="B48" s="85"/>
      <c r="C48" s="210">
        <v>60</v>
      </c>
      <c r="D48" s="210">
        <v>120</v>
      </c>
      <c r="E48" s="210">
        <v>3</v>
      </c>
      <c r="F48" s="211"/>
      <c r="G48" s="211"/>
      <c r="H48" s="212"/>
    </row>
    <row r="49" spans="1:8" ht="12.75">
      <c r="A49" s="175" t="s">
        <v>140</v>
      </c>
      <c r="B49" s="85"/>
      <c r="C49" s="210">
        <f>IF(C45=0,0,C45/C46)</f>
        <v>60.42031523642732</v>
      </c>
      <c r="D49" s="213">
        <f>IF(D45=0,0,D45/D46)</f>
        <v>122.58064516129032</v>
      </c>
      <c r="E49" s="214">
        <f>IF(E45=0,0,E45/E46)</f>
        <v>3.019607843137255</v>
      </c>
      <c r="F49" s="211"/>
      <c r="G49" s="211"/>
      <c r="H49" s="212"/>
    </row>
    <row r="50" spans="1:8" ht="13.5" thickBot="1">
      <c r="A50" s="176" t="s">
        <v>135</v>
      </c>
      <c r="B50" s="179"/>
      <c r="C50" s="215">
        <f>C47-C45</f>
        <v>-12000</v>
      </c>
      <c r="D50" s="215">
        <f>D47-D45</f>
        <v>-16000</v>
      </c>
      <c r="E50" s="215">
        <f>E47-E45</f>
        <v>-200</v>
      </c>
      <c r="F50" s="216"/>
      <c r="G50" s="217"/>
      <c r="H50" s="218">
        <f>SUM(C50:G50)</f>
        <v>-28200</v>
      </c>
    </row>
    <row r="52" spans="6:8" ht="12.75">
      <c r="F52" s="173"/>
      <c r="G52" s="173"/>
      <c r="H52" s="173"/>
    </row>
    <row r="53" spans="6:8" ht="12.75">
      <c r="F53" s="173"/>
      <c r="G53" s="173"/>
      <c r="H53" s="173"/>
    </row>
    <row r="54" spans="6:8" ht="12.75">
      <c r="F54" s="173"/>
      <c r="G54" s="173"/>
      <c r="H54" s="173"/>
    </row>
    <row r="55" spans="6:8" ht="12.75">
      <c r="F55" s="173"/>
      <c r="G55" s="173"/>
      <c r="H55" s="173"/>
    </row>
    <row r="56" spans="6:8" ht="12.75">
      <c r="F56" s="173"/>
      <c r="G56" s="173"/>
      <c r="H56" s="173"/>
    </row>
  </sheetData>
  <sheetProtection/>
  <mergeCells count="7">
    <mergeCell ref="F34:H34"/>
    <mergeCell ref="A2:H2"/>
    <mergeCell ref="F3:H3"/>
    <mergeCell ref="C17:E17"/>
    <mergeCell ref="C19:E19"/>
    <mergeCell ref="C26:E26"/>
    <mergeCell ref="C28:E28"/>
  </mergeCell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40" zoomScaleNormal="140" zoomScalePageLayoutView="0" workbookViewId="0" topLeftCell="A1">
      <selection activeCell="C21" sqref="C21"/>
    </sheetView>
  </sheetViews>
  <sheetFormatPr defaultColWidth="9.140625" defaultRowHeight="12.75"/>
  <cols>
    <col min="1" max="2" width="8.8515625" style="249" customWidth="1"/>
    <col min="3" max="3" width="14.7109375" style="249" customWidth="1"/>
    <col min="4" max="4" width="13.421875" style="249" customWidth="1"/>
    <col min="5" max="5" width="16.8515625" style="249" hidden="1" customWidth="1"/>
    <col min="6" max="6" width="16.28125" style="249" customWidth="1"/>
    <col min="7" max="7" width="13.8515625" style="249" customWidth="1"/>
    <col min="8" max="8" width="10.8515625" style="249" bestFit="1" customWidth="1"/>
    <col min="9" max="9" width="15.140625" style="249" bestFit="1" customWidth="1"/>
    <col min="10" max="10" width="12.421875" style="249" customWidth="1"/>
    <col min="11" max="11" width="12.140625" style="249" customWidth="1"/>
    <col min="12" max="16384" width="8.8515625" style="249" customWidth="1"/>
  </cols>
  <sheetData>
    <row r="1" spans="1:9" ht="27" thickBot="1">
      <c r="A1" s="349"/>
      <c r="B1" s="349" t="s">
        <v>190</v>
      </c>
      <c r="C1" s="350" t="str">
        <f>'opg 1.1 Prisoptimering'!N4</f>
        <v>Differensbidrag pr. time</v>
      </c>
      <c r="D1" s="350" t="s">
        <v>191</v>
      </c>
      <c r="E1" s="351" t="s">
        <v>211</v>
      </c>
      <c r="F1" s="349" t="s">
        <v>212</v>
      </c>
      <c r="G1" s="349" t="s">
        <v>190</v>
      </c>
      <c r="H1" s="352" t="str">
        <f>D1</f>
        <v>Ekstra timeforbrug</v>
      </c>
      <c r="I1" s="353" t="s">
        <v>213</v>
      </c>
    </row>
    <row r="2" spans="1:9" ht="12.75">
      <c r="A2" s="354">
        <v>1</v>
      </c>
      <c r="B2" s="355" t="str">
        <f>CONCATENATE(1," ",'opg 1.1 Prisoptimering'!$D$2)</f>
        <v>1 DK</v>
      </c>
      <c r="C2" s="356">
        <f>'opg 1.1 Prisoptimering'!N5</f>
        <v>1300</v>
      </c>
      <c r="D2" s="357">
        <f>'opg 1.1 Prisoptimering'!O5</f>
        <v>1000</v>
      </c>
      <c r="E2" s="358">
        <f aca="true" t="shared" si="0" ref="E2:E25">SMALL($C$2:$C$25,A2)</f>
        <v>0</v>
      </c>
      <c r="F2" s="359">
        <f aca="true" t="shared" si="1" ref="F2:F25">LARGE($E$2:$E$25,A2)</f>
        <v>1300</v>
      </c>
      <c r="G2" s="354" t="str">
        <f>IF(F2=C2,B2,IF(F2=C10,B10,IF(F2=C18,B18)))</f>
        <v>1 DK</v>
      </c>
      <c r="H2" s="360">
        <f>IF(G2=$B$2,$D$2,IF(G2=$B$10,$D$10,IF(G2=$B$18,$D$18)))</f>
        <v>1000</v>
      </c>
      <c r="I2" s="361">
        <f>H2</f>
        <v>1000</v>
      </c>
    </row>
    <row r="3" spans="1:9" ht="12.75">
      <c r="A3" s="362">
        <f aca="true" t="shared" si="2" ref="A3:A25">A2+1</f>
        <v>2</v>
      </c>
      <c r="B3" s="363" t="str">
        <f>CONCATENATE(2," ",'opg 1.1 Prisoptimering'!$D$2)</f>
        <v>2 DK</v>
      </c>
      <c r="C3" s="364">
        <f>'opg 1.1 Prisoptimering'!N6</f>
        <v>1100</v>
      </c>
      <c r="D3" s="365">
        <f>'opg 1.1 Prisoptimering'!O6</f>
        <v>1000</v>
      </c>
      <c r="E3" s="366">
        <f t="shared" si="0"/>
        <v>0</v>
      </c>
      <c r="F3" s="367">
        <f t="shared" si="1"/>
        <v>1100</v>
      </c>
      <c r="G3" s="362" t="str">
        <f>IF(F3=$C$2,$B$2,IF(F3=$C$3,$B$3,IF(F3=$C$10,$B$10,IF(F3=$C$11,$B$11,IF(F3=$C$18,$B$18,IF(F3=$C$19,$B$19))))))</f>
        <v>2 DK</v>
      </c>
      <c r="H3" s="105">
        <f>IF(G3=$B$2,$D$2,IF(G3=$B$10,$D$10,IF(G3=$B$18,$D$18,IF(G3=$B$3,$D$3,IF(G3=$B$11,$D$11,IF(G3=$B$19,$D$19,IF(G3=$B$4,$D$4,IF(G3=$B$12,$D$12))))))))</f>
        <v>1000</v>
      </c>
      <c r="I3" s="361">
        <f>H3+I2</f>
        <v>2000</v>
      </c>
    </row>
    <row r="4" spans="1:9" ht="12.75">
      <c r="A4" s="362">
        <f t="shared" si="2"/>
        <v>3</v>
      </c>
      <c r="B4" s="363" t="str">
        <f>CONCATENATE(3," ",'opg 1.1 Prisoptimering'!$D$2)</f>
        <v>3 DK</v>
      </c>
      <c r="C4" s="364">
        <f>'opg 1.1 Prisoptimering'!N8</f>
        <v>900</v>
      </c>
      <c r="D4" s="365">
        <f>'opg 1.1 Prisoptimering'!O8</f>
        <v>1000</v>
      </c>
      <c r="E4" s="366">
        <f t="shared" si="0"/>
        <v>0</v>
      </c>
      <c r="F4" s="367">
        <f t="shared" si="1"/>
        <v>950</v>
      </c>
      <c r="G4" s="362" t="str">
        <f>IF(F4=$C$2,$B$2,IF(F4=$C$3,$B$3,IF(F4=$C$10,$B$10,IF(F4=$C$11,$B$11,IF(F4=$C$18,$B$18,IF(F4=$C$19,$B$19,IF(F4=$C$4,$B$4,IF(F4=$C$12,$B$12,))))))))</f>
        <v>1 Tysk</v>
      </c>
      <c r="H4" s="105">
        <f>IF(G4=$B$2,$D$2,IF(G4=$B$10,$D$10,IF(G4=$B$18,$D$18,IF(G4=$B$3,$D$3,IF(G4=$B$11,$D$11,IF(G4=$B$19,$D$19,IF(G4=$B$4,$D$4,IF(G4=$B$12,$D$12))))))))</f>
        <v>1000</v>
      </c>
      <c r="I4" s="361">
        <f aca="true" t="shared" si="3" ref="I4:I13">H4+I3</f>
        <v>3000</v>
      </c>
    </row>
    <row r="5" spans="1:9" ht="12.75">
      <c r="A5" s="362">
        <f t="shared" si="2"/>
        <v>4</v>
      </c>
      <c r="B5" s="363" t="str">
        <f>CONCATENATE(4," ",'opg 1.1 Prisoptimering'!$D$2)</f>
        <v>4 DK</v>
      </c>
      <c r="C5" s="364">
        <f>'opg 1.1 Prisoptimering'!N10</f>
        <v>700</v>
      </c>
      <c r="D5" s="365">
        <f>'opg 1.1 Prisoptimering'!O10</f>
        <v>1000</v>
      </c>
      <c r="E5" s="366">
        <f t="shared" si="0"/>
        <v>0</v>
      </c>
      <c r="F5" s="367">
        <f t="shared" si="1"/>
        <v>900</v>
      </c>
      <c r="G5" s="362" t="str">
        <f>IF(F5=$C$2,$B$2,IF(F5=$C$3,$B$3,IF(F5=$C$10,$B$10,IF(F5=$C$11,$B$11,IF(F5=$C$18,$B$18,IF(F5=$C$19,$B$19,IF(F5=$C$4,$B$4,IF(F5=$C$12,$B$12,))))))))</f>
        <v>3 DK</v>
      </c>
      <c r="H5" s="105">
        <f>IF(G5=$B$2,$D$2,IF(G5=$B$10,$D$10,IF(G5=$B$18,$D$18,IF(G5=$B$3,$D$3,IF(G5=$B$11,$D$11,IF(G5=$B$19,$D$19,IF(G5=$B$4,$D$4,IF(G5=$B$12,$D$12))))))))</f>
        <v>1000</v>
      </c>
      <c r="I5" s="361">
        <f t="shared" si="3"/>
        <v>4000</v>
      </c>
    </row>
    <row r="6" spans="1:9" ht="12.75">
      <c r="A6" s="362">
        <f t="shared" si="2"/>
        <v>5</v>
      </c>
      <c r="B6" s="363" t="str">
        <f>CONCATENATE(5," ",'opg 1.1 Prisoptimering'!$D$2)</f>
        <v>5 DK</v>
      </c>
      <c r="C6" s="364">
        <f>'opg 1.1 Prisoptimering'!N12</f>
        <v>500</v>
      </c>
      <c r="D6" s="365">
        <f>'opg 1.1 Prisoptimering'!O12</f>
        <v>1000</v>
      </c>
      <c r="E6" s="366">
        <f t="shared" si="0"/>
        <v>0</v>
      </c>
      <c r="F6" s="367">
        <f t="shared" si="1"/>
        <v>850</v>
      </c>
      <c r="G6" s="362" t="str">
        <f>IF(F6=$C$2,$B$2,IF(F6=$C$3,$B$3,IF(F6=$C$10,$B$10,IF(F6=$C$11,$B$11,IF(F6=$C$18,$B$18,IF(F6=$C$19,$B$19,IF(F6=$C$4,$B$4,IF(F6=$C$12,$B$12,))))))))</f>
        <v>2 Tysk</v>
      </c>
      <c r="H6" s="105">
        <f>IF(G6=$B$2,$D$2,IF(G6=$B$10,$D$10,IF(G6=$B$18,$D$18,IF(G6=$B$3,$D$3,IF(G6=$B$11,$D$11,IF(G6=$B$19,$D$19,IF(G6=$B$4,$D$4,IF(G6=$B$12,$D$12))))))))</f>
        <v>1000</v>
      </c>
      <c r="I6" s="361">
        <f t="shared" si="3"/>
        <v>5000</v>
      </c>
    </row>
    <row r="7" spans="1:9" ht="12.75">
      <c r="A7" s="362">
        <f t="shared" si="2"/>
        <v>6</v>
      </c>
      <c r="B7" s="363" t="str">
        <f>CONCATENATE(6," ",'opg 1.1 Prisoptimering'!$D$2)</f>
        <v>6 DK</v>
      </c>
      <c r="C7" s="364">
        <f>'opg 1.1 Prisoptimering'!N14</f>
        <v>300</v>
      </c>
      <c r="D7" s="365">
        <f>'opg 1.1 Prisoptimering'!O14</f>
        <v>1000</v>
      </c>
      <c r="E7" s="366">
        <f t="shared" si="0"/>
        <v>0</v>
      </c>
      <c r="F7" s="367">
        <f>LARGE($E$2:$E$25,A7)</f>
        <v>750</v>
      </c>
      <c r="G7" s="362" t="str">
        <f>IF(F7=$C$2,$B$2,IF(F7=$C$3,$B$3,IF(F7=$C$10,$B$10,IF(F7=$C$11,$B$11,IF(F7=$C$18,$B$18,IF(F7=$C$19,$B$19,IF(F7=$C$4,$B$4,IF(F7=$C$12,$B$12,))))))))</f>
        <v>3 Tysk</v>
      </c>
      <c r="H7" s="105">
        <f>IF(G7=$B$2,$D$2,IF(G7=$B$10,$D$10,IF(G7=$B$18,$D$18,IF(G7=$B$3,$D$3,IF(G7=$B$11,$D$11,IF(G7=$B$19,$D$19,IF(G7=$B$4,$D$4,IF(G7=$B$12,$D$12))))))))</f>
        <v>1000</v>
      </c>
      <c r="I7" s="361">
        <f t="shared" si="3"/>
        <v>6000</v>
      </c>
    </row>
    <row r="8" spans="1:9" ht="12.75">
      <c r="A8" s="362">
        <f t="shared" si="2"/>
        <v>7</v>
      </c>
      <c r="B8" s="363" t="str">
        <f>CONCATENATE(7," ",'opg 1.1 Prisoptimering'!$D$2)</f>
        <v>7 DK</v>
      </c>
      <c r="C8" s="364">
        <f>'opg 1.1 Prisoptimering'!N16</f>
        <v>0</v>
      </c>
      <c r="D8" s="365">
        <f>'opg 1.1 Prisoptimering'!O16</f>
        <v>0</v>
      </c>
      <c r="E8" s="366">
        <f t="shared" si="0"/>
        <v>0</v>
      </c>
      <c r="F8" s="367">
        <f t="shared" si="1"/>
        <v>700</v>
      </c>
      <c r="G8" s="362" t="str">
        <f>B5</f>
        <v>4 DK</v>
      </c>
      <c r="H8" s="105">
        <v>1000</v>
      </c>
      <c r="I8" s="361">
        <f t="shared" si="3"/>
        <v>7000</v>
      </c>
    </row>
    <row r="9" spans="1:9" ht="13.5" thickBot="1">
      <c r="A9" s="362">
        <f t="shared" si="2"/>
        <v>8</v>
      </c>
      <c r="B9" s="363" t="str">
        <f>CONCATENATE(7," ",'opg 1.1 Prisoptimering'!$D$2)</f>
        <v>7 DK</v>
      </c>
      <c r="C9" s="364">
        <f>'opg 1.1 Prisoptimering'!N18</f>
        <v>0</v>
      </c>
      <c r="D9" s="365">
        <f>'opg 1.1 Prisoptimering'!O18</f>
        <v>0</v>
      </c>
      <c r="E9" s="366">
        <f t="shared" si="0"/>
        <v>0</v>
      </c>
      <c r="F9" s="367">
        <f t="shared" si="1"/>
        <v>650</v>
      </c>
      <c r="G9" s="362" t="str">
        <f>IF(F9=$C$5,$B$5,IF(F9=$C$3,$B$3,IF(F9=$C$13,$B$13,IF(F9=$C$11,$B$11,IF(F9=$C$19,$B$19,IF(F9=$C$20,$B$20,IF(F9=$C$4,$B$4,IF(F9=$C$12,$B$12,))))))))</f>
        <v>4 Tysk</v>
      </c>
      <c r="H9" s="105">
        <f>IF(G9=$B$5,$D$5,IF(G9=$B$13,$D$13,IF(G9=$B$20,$D$20,IF(G9=$B$3,$D$3,IF(G9=$B$11,$D$11,IF(G9=$B$19,$D$19,IF(G9=$B$4,$D$4,IF(G9=$B$12,$D$12))))))))</f>
        <v>1000</v>
      </c>
      <c r="I9" s="361">
        <f t="shared" si="3"/>
        <v>8000</v>
      </c>
    </row>
    <row r="10" spans="1:9" ht="12.75">
      <c r="A10" s="354">
        <f t="shared" si="2"/>
        <v>9</v>
      </c>
      <c r="B10" s="355" t="str">
        <f>CONCATENATE(1," ",'opg 1.1 Prisoptimering'!$D$30)</f>
        <v>1 Tysk</v>
      </c>
      <c r="C10" s="356">
        <f>'opg 1.1 Prisoptimering'!N33</f>
        <v>950</v>
      </c>
      <c r="D10" s="357">
        <f>'opg 1.1 Prisoptimering'!O33</f>
        <v>1000</v>
      </c>
      <c r="E10" s="358">
        <f t="shared" si="0"/>
        <v>0</v>
      </c>
      <c r="F10" s="359">
        <f t="shared" si="1"/>
        <v>550</v>
      </c>
      <c r="G10" s="363">
        <f>IF(F10=$C$5,$B$5,IF(F10=$C$3,$B$3,IF(F10=$C$13,$B$13,IF(F10=$C$11,$B$11,IF(F10=$C$19,$B$19,IF(F10=$C$20,$B$20,IF(F10=$C$4,$B$4,IF(F10=$C$12,$B$12,))))))))</f>
        <v>0</v>
      </c>
      <c r="H10" s="105" t="str">
        <f>IF(G10=$B$5,$D$5,IF(G10=$B$13,$D$13,IF(G10=$B$20,$D$20,IF(G10=$B$3,$D$3,IF(G10=$B$11,$D$11,IF(G10=$B$19,$D$19,IF(G10=$B$4,$D$4,IF(G10=$B$12,$D$12,"-"))))))))</f>
        <v>-</v>
      </c>
      <c r="I10" s="361" t="e">
        <f t="shared" si="3"/>
        <v>#VALUE!</v>
      </c>
    </row>
    <row r="11" spans="1:9" ht="12.75">
      <c r="A11" s="362">
        <f t="shared" si="2"/>
        <v>10</v>
      </c>
      <c r="B11" s="363" t="str">
        <f>CONCATENATE(2," ",'opg 1.1 Prisoptimering'!$D$30)</f>
        <v>2 Tysk</v>
      </c>
      <c r="C11" s="364">
        <f>'opg 1.1 Prisoptimering'!N34</f>
        <v>850</v>
      </c>
      <c r="D11" s="365">
        <f>'opg 1.1 Prisoptimering'!O34</f>
        <v>1000</v>
      </c>
      <c r="E11" s="366">
        <f t="shared" si="0"/>
        <v>0</v>
      </c>
      <c r="F11" s="367">
        <f t="shared" si="1"/>
        <v>500</v>
      </c>
      <c r="G11" s="363">
        <f>IF(F11=$C$5,$B$5,IF(F11=$C$3,$B$3,IF(F11=$C$13,$B$13,IF(F11=$C$11,$B$11,IF(F11=$C$19,$B$19,IF(F11=$C$20,$B$20,IF(F11=$C$4,$B$4,IF(F11=$C$12,$B$12,))))))))</f>
        <v>0</v>
      </c>
      <c r="H11" s="105" t="str">
        <f>IF(G11=$B$5,$D$5,IF(G11=$B$13,$D$13,IF(G11=$B$20,$D$20,IF(G11=$B$3,$D$3,IF(G11=$B$11,$D$11,IF(G11=$B$19,$D$19,IF(G11=$B$4,$D$4,IF(G11=$B$12,$D$12,"-"))))))))</f>
        <v>-</v>
      </c>
      <c r="I11" s="361" t="e">
        <f t="shared" si="3"/>
        <v>#VALUE!</v>
      </c>
    </row>
    <row r="12" spans="1:9" ht="12.75">
      <c r="A12" s="362">
        <f t="shared" si="2"/>
        <v>11</v>
      </c>
      <c r="B12" s="363" t="str">
        <f>CONCATENATE(3," ",'opg 1.1 Prisoptimering'!$D$30)</f>
        <v>3 Tysk</v>
      </c>
      <c r="C12" s="364">
        <f>'opg 1.1 Prisoptimering'!N36</f>
        <v>750</v>
      </c>
      <c r="D12" s="365">
        <f>'opg 1.1 Prisoptimering'!O36</f>
        <v>1000</v>
      </c>
      <c r="E12" s="366">
        <f t="shared" si="0"/>
        <v>0</v>
      </c>
      <c r="F12" s="367">
        <f t="shared" si="1"/>
        <v>450</v>
      </c>
      <c r="G12" s="363" t="str">
        <f>IF(F12=$C$5,$B$5,IF(F12=$C$6,$B$6,IF(F12=$C$13,$B$13,IF(F12=$C$14,$B$14,IF(F12=$C$21,$B$21,IF(F12=$C$20,$B$20,IF(F12=$C$4,$B$4,IF(F12=$C$12,$B$12,"-"))))))))</f>
        <v>-</v>
      </c>
      <c r="H12" s="105" t="str">
        <f>IF(G12=$B$5,$D$5,IF(G12=$B$13,$D$13,IF(G12=$B$20,$D$20,IF(G12=$B$3,$D$3,IF(G12=$B$11,$D$11,IF(G12=$B$19,$D$19,IF(G12=$B$4,$D$4,IF(G12=$B$12,$D$12,"-"))))))))</f>
        <v>-</v>
      </c>
      <c r="I12" s="361" t="e">
        <f t="shared" si="3"/>
        <v>#VALUE!</v>
      </c>
    </row>
    <row r="13" spans="1:9" ht="13.5" thickBot="1">
      <c r="A13" s="362">
        <f t="shared" si="2"/>
        <v>12</v>
      </c>
      <c r="B13" s="363" t="str">
        <f>CONCATENATE(4," ",'opg 1.1 Prisoptimering'!$D$30)</f>
        <v>4 Tysk</v>
      </c>
      <c r="C13" s="364">
        <f>'opg 1.1 Prisoptimering'!N38</f>
        <v>650</v>
      </c>
      <c r="D13" s="365">
        <f>'opg 1.1 Prisoptimering'!O38</f>
        <v>1000</v>
      </c>
      <c r="E13" s="366">
        <f t="shared" si="0"/>
        <v>300</v>
      </c>
      <c r="F13" s="274">
        <f t="shared" si="1"/>
        <v>350</v>
      </c>
      <c r="G13" s="368" t="str">
        <f>IF(F13=$C$5,$B$5,IF(F13=$C$6,$B$6,IF(F13=$C$13,$B$13,IF(F13=$C$14,$B$14,IF(F13=$C$21,$B$21,IF(F13=$C$20,$B$20,IF(F13=$C$4,$B$4,IF(F13=$C$12,$B$12,"-"))))))))</f>
        <v>-</v>
      </c>
      <c r="H13" s="369" t="str">
        <f>IF(G13=$B$5,$D$5,IF(G13=$B$13,$D$13,IF(G13=$B$20,$D$20,IF(G13=$B$3,$D$3,IF(G13=$B$11,$D$11,IF(G13=$B$19,$D$19,IF(G13=$B$4,$D$4,IF(G13=$B$12,$D$12,"-"))))))))</f>
        <v>-</v>
      </c>
      <c r="I13" s="370" t="e">
        <f t="shared" si="3"/>
        <v>#VALUE!</v>
      </c>
    </row>
    <row r="14" spans="1:6" ht="12.75">
      <c r="A14" s="362">
        <f t="shared" si="2"/>
        <v>13</v>
      </c>
      <c r="B14" s="363" t="str">
        <f>CONCATENATE(5," ",'opg 1.1 Prisoptimering'!$D$30)</f>
        <v>5 Tysk</v>
      </c>
      <c r="C14" s="364">
        <f>'opg 1.1 Prisoptimering'!N40</f>
        <v>550</v>
      </c>
      <c r="D14" s="365">
        <f>'opg 1.1 Prisoptimering'!O40</f>
        <v>1000</v>
      </c>
      <c r="E14" s="366">
        <f t="shared" si="0"/>
        <v>350</v>
      </c>
      <c r="F14" s="367">
        <f t="shared" si="1"/>
        <v>300</v>
      </c>
    </row>
    <row r="15" spans="1:6" ht="12.75">
      <c r="A15" s="362">
        <f t="shared" si="2"/>
        <v>14</v>
      </c>
      <c r="B15" s="363" t="str">
        <f>CONCATENATE(6," ",'opg 1.1 Prisoptimering'!$D$30)</f>
        <v>6 Tysk</v>
      </c>
      <c r="C15" s="364">
        <f>'opg 1.1 Prisoptimering'!N42</f>
        <v>450</v>
      </c>
      <c r="D15" s="365">
        <f>'opg 1.1 Prisoptimering'!O42</f>
        <v>1000</v>
      </c>
      <c r="E15" s="366">
        <f t="shared" si="0"/>
        <v>450</v>
      </c>
      <c r="F15" s="367">
        <f t="shared" si="1"/>
        <v>0</v>
      </c>
    </row>
    <row r="16" spans="1:6" ht="12.75">
      <c r="A16" s="362">
        <f t="shared" si="2"/>
        <v>15</v>
      </c>
      <c r="B16" s="363" t="str">
        <f>CONCATENATE(7," ",'opg 1.1 Prisoptimering'!$D$30)</f>
        <v>7 Tysk</v>
      </c>
      <c r="C16" s="364">
        <f>'opg 1.1 Prisoptimering'!N44</f>
        <v>350</v>
      </c>
      <c r="D16" s="365">
        <f>'opg 1.1 Prisoptimering'!O44</f>
        <v>1000</v>
      </c>
      <c r="E16" s="366">
        <f t="shared" si="0"/>
        <v>500</v>
      </c>
      <c r="F16" s="367">
        <f t="shared" si="1"/>
        <v>0</v>
      </c>
    </row>
    <row r="17" spans="1:6" ht="13.5" thickBot="1">
      <c r="A17" s="362">
        <f t="shared" si="2"/>
        <v>16</v>
      </c>
      <c r="B17" s="363" t="str">
        <f>CONCATENATE(8," ",'opg 1.1 Prisoptimering'!$D$30)</f>
        <v>8 Tysk</v>
      </c>
      <c r="C17" s="364">
        <f>'opg 1.1 Prisoptimering'!N46</f>
        <v>0</v>
      </c>
      <c r="D17" s="365">
        <f>'opg 1.1 Prisoptimering'!O46</f>
        <v>0</v>
      </c>
      <c r="E17" s="366">
        <f t="shared" si="0"/>
        <v>550</v>
      </c>
      <c r="F17" s="274">
        <f t="shared" si="1"/>
        <v>0</v>
      </c>
    </row>
    <row r="18" spans="1:6" ht="12.75">
      <c r="A18" s="354">
        <f t="shared" si="2"/>
        <v>17</v>
      </c>
      <c r="B18" s="355" t="str">
        <f>CONCATENATE(1," ",'opg 1.1 Prisoptimering'!$D$58)</f>
        <v>1 -</v>
      </c>
      <c r="C18" s="356">
        <f>'opg 1.1 Prisoptimering'!N61</f>
        <v>0</v>
      </c>
      <c r="D18" s="357">
        <f>'opg 1.1 Prisoptimering'!O61</f>
        <v>0</v>
      </c>
      <c r="E18" s="358">
        <f t="shared" si="0"/>
        <v>650</v>
      </c>
      <c r="F18" s="105">
        <f t="shared" si="1"/>
        <v>0</v>
      </c>
    </row>
    <row r="19" spans="1:6" ht="12.75">
      <c r="A19" s="362">
        <f t="shared" si="2"/>
        <v>18</v>
      </c>
      <c r="B19" s="363" t="str">
        <f>CONCATENATE(2," ",'opg 1.1 Prisoptimering'!$D$58)</f>
        <v>2 -</v>
      </c>
      <c r="C19" s="364">
        <f>'opg 1.1 Prisoptimering'!N62</f>
        <v>0</v>
      </c>
      <c r="D19" s="365">
        <f>'opg 1.1 Prisoptimering'!O62</f>
        <v>0</v>
      </c>
      <c r="E19" s="366">
        <f t="shared" si="0"/>
        <v>700</v>
      </c>
      <c r="F19" s="105">
        <f t="shared" si="1"/>
        <v>0</v>
      </c>
    </row>
    <row r="20" spans="1:6" ht="12.75">
      <c r="A20" s="362">
        <f t="shared" si="2"/>
        <v>19</v>
      </c>
      <c r="B20" s="363" t="str">
        <f>CONCATENATE(3," ",'opg 1.1 Prisoptimering'!$D$58)</f>
        <v>3 -</v>
      </c>
      <c r="C20" s="364">
        <f>'opg 1.1 Prisoptimering'!N64</f>
        <v>0</v>
      </c>
      <c r="D20" s="365">
        <f>'opg 1.1 Prisoptimering'!O64</f>
        <v>0</v>
      </c>
      <c r="E20" s="366">
        <f t="shared" si="0"/>
        <v>750</v>
      </c>
      <c r="F20" s="105">
        <f t="shared" si="1"/>
        <v>0</v>
      </c>
    </row>
    <row r="21" spans="1:6" ht="12.75">
      <c r="A21" s="362">
        <f t="shared" si="2"/>
        <v>20</v>
      </c>
      <c r="B21" s="363" t="str">
        <f>CONCATENATE(4," ",'opg 1.1 Prisoptimering'!$D$58)</f>
        <v>4 -</v>
      </c>
      <c r="C21" s="364">
        <f>'opg 1.1 Prisoptimering'!N66</f>
        <v>0</v>
      </c>
      <c r="D21" s="365">
        <f>'opg 1.1 Prisoptimering'!O66</f>
        <v>0</v>
      </c>
      <c r="E21" s="366">
        <f t="shared" si="0"/>
        <v>850</v>
      </c>
      <c r="F21" s="105">
        <f t="shared" si="1"/>
        <v>0</v>
      </c>
    </row>
    <row r="22" spans="1:6" ht="12.75">
      <c r="A22" s="362">
        <f t="shared" si="2"/>
        <v>21</v>
      </c>
      <c r="B22" s="363" t="str">
        <f>CONCATENATE(5," ",'opg 1.1 Prisoptimering'!$D$58)</f>
        <v>5 -</v>
      </c>
      <c r="C22" s="364">
        <f>'opg 1.1 Prisoptimering'!N68</f>
        <v>0</v>
      </c>
      <c r="D22" s="365">
        <f>'opg 1.1 Prisoptimering'!O68</f>
        <v>0</v>
      </c>
      <c r="E22" s="366">
        <f t="shared" si="0"/>
        <v>900</v>
      </c>
      <c r="F22" s="105">
        <f t="shared" si="1"/>
        <v>0</v>
      </c>
    </row>
    <row r="23" spans="1:6" ht="12.75">
      <c r="A23" s="362">
        <f t="shared" si="2"/>
        <v>22</v>
      </c>
      <c r="B23" s="363" t="str">
        <f>CONCATENATE(6," ",'opg 1.1 Prisoptimering'!$D$58)</f>
        <v>6 -</v>
      </c>
      <c r="C23" s="364">
        <f>'opg 1.1 Prisoptimering'!N70</f>
        <v>0</v>
      </c>
      <c r="D23" s="365">
        <f>'opg 1.1 Prisoptimering'!O70</f>
        <v>0</v>
      </c>
      <c r="E23" s="366">
        <f t="shared" si="0"/>
        <v>950</v>
      </c>
      <c r="F23" s="105">
        <f t="shared" si="1"/>
        <v>0</v>
      </c>
    </row>
    <row r="24" spans="1:6" ht="12.75">
      <c r="A24" s="362">
        <f t="shared" si="2"/>
        <v>23</v>
      </c>
      <c r="B24" s="363" t="str">
        <f>CONCATENATE(7," ",'opg 1.1 Prisoptimering'!$D$58)</f>
        <v>7 -</v>
      </c>
      <c r="C24" s="364">
        <f>'opg 1.1 Prisoptimering'!N72</f>
        <v>0</v>
      </c>
      <c r="D24" s="365">
        <f>'opg 1.1 Prisoptimering'!O72</f>
        <v>0</v>
      </c>
      <c r="E24" s="366">
        <f t="shared" si="0"/>
        <v>1100</v>
      </c>
      <c r="F24" s="105">
        <f t="shared" si="1"/>
        <v>0</v>
      </c>
    </row>
    <row r="25" spans="1:6" ht="13.5" thickBot="1">
      <c r="A25" s="371">
        <f t="shared" si="2"/>
        <v>24</v>
      </c>
      <c r="B25" s="368" t="str">
        <f>CONCATENATE(8," ",'opg 1.1 Prisoptimering'!$D$58)</f>
        <v>8 -</v>
      </c>
      <c r="C25" s="372">
        <f>'opg 1.1 Prisoptimering'!N74</f>
        <v>0</v>
      </c>
      <c r="D25" s="373">
        <f>'opg 1.1 Prisoptimering'!O74</f>
        <v>0</v>
      </c>
      <c r="E25" s="374">
        <f t="shared" si="0"/>
        <v>1300</v>
      </c>
      <c r="F25" s="369">
        <f t="shared" si="1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8"/>
  <sheetViews>
    <sheetView zoomScalePageLayoutView="0" workbookViewId="0" topLeftCell="A88">
      <selection activeCell="J120" sqref="J120"/>
    </sheetView>
  </sheetViews>
  <sheetFormatPr defaultColWidth="9.140625" defaultRowHeight="12.75"/>
  <cols>
    <col min="1" max="1" width="8.8515625" style="249" customWidth="1"/>
    <col min="2" max="2" width="3.28125" style="249" customWidth="1"/>
    <col min="3" max="3" width="17.7109375" style="249" customWidth="1"/>
    <col min="4" max="4" width="13.421875" style="249" customWidth="1"/>
    <col min="5" max="5" width="14.8515625" style="249" customWidth="1"/>
    <col min="6" max="6" width="15.57421875" style="249" customWidth="1"/>
    <col min="7" max="7" width="15.7109375" style="249" customWidth="1"/>
    <col min="8" max="8" width="14.8515625" style="249" customWidth="1"/>
    <col min="9" max="9" width="15.00390625" style="249" customWidth="1"/>
    <col min="10" max="10" width="13.421875" style="249" customWidth="1"/>
    <col min="11" max="11" width="14.140625" style="249" customWidth="1"/>
    <col min="12" max="13" width="13.57421875" style="249" customWidth="1"/>
    <col min="14" max="14" width="18.00390625" style="249" customWidth="1"/>
    <col min="15" max="15" width="11.00390625" style="249" customWidth="1"/>
    <col min="16" max="16384" width="8.8515625" style="249" customWidth="1"/>
  </cols>
  <sheetData>
    <row r="1" ht="18">
      <c r="C1" s="250" t="s">
        <v>160</v>
      </c>
    </row>
    <row r="2" spans="3:4" ht="15.75">
      <c r="C2" s="251" t="s">
        <v>161</v>
      </c>
      <c r="D2" s="252" t="s">
        <v>162</v>
      </c>
    </row>
    <row r="3" spans="3:5" ht="16.5" thickBot="1">
      <c r="C3" s="251" t="s">
        <v>163</v>
      </c>
      <c r="D3" s="252">
        <v>1</v>
      </c>
      <c r="E3" s="249" t="s">
        <v>164</v>
      </c>
    </row>
    <row r="4" spans="1:15" ht="30.75" thickBot="1">
      <c r="A4" s="253" t="s">
        <v>165</v>
      </c>
      <c r="B4" s="253" t="s">
        <v>166</v>
      </c>
      <c r="C4" s="254" t="s">
        <v>167</v>
      </c>
      <c r="D4" s="255" t="s">
        <v>168</v>
      </c>
      <c r="E4" s="255" t="s">
        <v>28</v>
      </c>
      <c r="F4" s="255" t="s">
        <v>169</v>
      </c>
      <c r="G4" s="255" t="s">
        <v>170</v>
      </c>
      <c r="H4" s="255" t="s">
        <v>171</v>
      </c>
      <c r="I4" s="255" t="s">
        <v>172</v>
      </c>
      <c r="J4" s="256" t="s">
        <v>173</v>
      </c>
      <c r="K4" s="257" t="s">
        <v>174</v>
      </c>
      <c r="L4" s="258" t="s">
        <v>175</v>
      </c>
      <c r="M4" s="259" t="s">
        <v>176</v>
      </c>
      <c r="N4" s="260" t="s">
        <v>177</v>
      </c>
      <c r="O4" s="261" t="s">
        <v>178</v>
      </c>
    </row>
    <row r="5" spans="1:15" ht="15" customHeight="1" thickBot="1">
      <c r="A5" s="262" t="str">
        <f>IF(C5=0,0,CONCATENATE(B5," ",$D$2))</f>
        <v>1 DK</v>
      </c>
      <c r="B5" s="263">
        <v>1</v>
      </c>
      <c r="C5" s="264">
        <v>2100</v>
      </c>
      <c r="D5" s="265">
        <v>1000</v>
      </c>
      <c r="E5" s="266">
        <f>D5*C5</f>
        <v>2100000</v>
      </c>
      <c r="F5" s="267">
        <v>800</v>
      </c>
      <c r="G5" s="266">
        <f>F5*D5</f>
        <v>800000</v>
      </c>
      <c r="H5" s="268">
        <f>E5-G5</f>
        <v>1300000</v>
      </c>
      <c r="I5" s="269">
        <v>0</v>
      </c>
      <c r="J5" s="270">
        <f>H5-I5</f>
        <v>1300000</v>
      </c>
      <c r="K5" s="271">
        <f>C5-F5</f>
        <v>1300</v>
      </c>
      <c r="L5" s="272">
        <f>D5/$D$3</f>
        <v>1000</v>
      </c>
      <c r="M5" s="273">
        <f>IF(L5=0,0,H5/L5)</f>
        <v>1300</v>
      </c>
      <c r="N5" s="274">
        <f>IF(L5=0,0,H5/L5)</f>
        <v>1300</v>
      </c>
      <c r="O5" s="275">
        <f>IF(L5&lt;0,0,L5)</f>
        <v>1000</v>
      </c>
    </row>
    <row r="6" spans="1:15" ht="15.75" customHeight="1" thickBot="1">
      <c r="A6" s="276"/>
      <c r="B6" s="277"/>
      <c r="C6" s="278"/>
      <c r="D6" s="279"/>
      <c r="E6" s="280"/>
      <c r="F6" s="278"/>
      <c r="G6" s="280"/>
      <c r="H6" s="281"/>
      <c r="I6" s="282"/>
      <c r="J6" s="283"/>
      <c r="K6" s="277"/>
      <c r="L6" s="277"/>
      <c r="M6" s="284"/>
      <c r="N6" s="262">
        <f>IF(L7=0,0,(H7-H5)/(L7-L5))</f>
        <v>1100</v>
      </c>
      <c r="O6" s="262">
        <f>IF(L7-L5&lt;0,0,L7-L5)</f>
        <v>1000</v>
      </c>
    </row>
    <row r="7" spans="1:15" ht="13.5" thickBot="1">
      <c r="A7" s="262" t="str">
        <f>IF(C7=0,0,CONCATENATE(B7," ",$D$2))</f>
        <v>2 DK</v>
      </c>
      <c r="B7" s="263">
        <v>2</v>
      </c>
      <c r="C7" s="267">
        <f>C5-100</f>
        <v>2000</v>
      </c>
      <c r="D7" s="285">
        <f>D5+1000</f>
        <v>2000</v>
      </c>
      <c r="E7" s="286">
        <f>D7*C7</f>
        <v>4000000</v>
      </c>
      <c r="F7" s="287">
        <f>IF(C7=0,0,$F$5)</f>
        <v>800</v>
      </c>
      <c r="G7" s="286">
        <f>F7*D7</f>
        <v>1600000</v>
      </c>
      <c r="H7" s="288">
        <f>E7-G7</f>
        <v>2400000</v>
      </c>
      <c r="I7" s="289">
        <f>IF(C7=0,0,$I$5)</f>
        <v>0</v>
      </c>
      <c r="J7" s="290">
        <f>H7-I7</f>
        <v>2400000</v>
      </c>
      <c r="K7" s="271">
        <f>C7-F7</f>
        <v>1200</v>
      </c>
      <c r="L7" s="273">
        <f>D7/$D$3</f>
        <v>2000</v>
      </c>
      <c r="M7" s="273">
        <f>IF(L7=0,0,H7/L7)</f>
        <v>1200</v>
      </c>
      <c r="N7" s="291"/>
      <c r="O7" s="276"/>
    </row>
    <row r="8" spans="1:15" ht="13.5" thickBot="1">
      <c r="A8" s="276"/>
      <c r="B8" s="277"/>
      <c r="C8" s="278"/>
      <c r="D8" s="279"/>
      <c r="E8" s="280"/>
      <c r="F8" s="292"/>
      <c r="G8" s="280"/>
      <c r="H8" s="281"/>
      <c r="I8" s="293"/>
      <c r="J8" s="283"/>
      <c r="K8" s="277"/>
      <c r="L8" s="284"/>
      <c r="M8" s="284"/>
      <c r="N8" s="262">
        <f>IF(L9=0,0,(H9-H7)/(L9-L7))</f>
        <v>900</v>
      </c>
      <c r="O8" s="262">
        <f>IF(L9-L7&lt;0,0,L9-L7)</f>
        <v>1000</v>
      </c>
    </row>
    <row r="9" spans="1:15" ht="13.5" customHeight="1" thickBot="1">
      <c r="A9" s="262" t="str">
        <f>IF(C9=0,0,CONCATENATE(B9," ",$D$2))</f>
        <v>3 DK</v>
      </c>
      <c r="B9" s="263">
        <v>3</v>
      </c>
      <c r="C9" s="267">
        <f>C7-100</f>
        <v>1900</v>
      </c>
      <c r="D9" s="285">
        <f>D7+1000</f>
        <v>3000</v>
      </c>
      <c r="E9" s="286">
        <f>D9*C9</f>
        <v>5700000</v>
      </c>
      <c r="F9" s="287">
        <f>IF(C9=0,0,$F$5)</f>
        <v>800</v>
      </c>
      <c r="G9" s="286">
        <f>F9*D9</f>
        <v>2400000</v>
      </c>
      <c r="H9" s="288">
        <f>E9-G9</f>
        <v>3300000</v>
      </c>
      <c r="I9" s="289">
        <f>IF(C9=0,0,$I$5)</f>
        <v>0</v>
      </c>
      <c r="J9" s="290">
        <f>H9-I9</f>
        <v>3300000</v>
      </c>
      <c r="K9" s="271">
        <f>C9-F9</f>
        <v>1100</v>
      </c>
      <c r="L9" s="273">
        <f>D9/$D$3</f>
        <v>3000</v>
      </c>
      <c r="M9" s="273">
        <f>IF(L9=0,0,H9/L9)</f>
        <v>1100</v>
      </c>
      <c r="N9" s="291"/>
      <c r="O9" s="276"/>
    </row>
    <row r="10" spans="1:15" ht="13.5" customHeight="1" thickBot="1">
      <c r="A10" s="276"/>
      <c r="B10" s="277"/>
      <c r="C10" s="278"/>
      <c r="D10" s="279"/>
      <c r="E10" s="280"/>
      <c r="F10" s="292"/>
      <c r="G10" s="280"/>
      <c r="H10" s="281"/>
      <c r="I10" s="293"/>
      <c r="J10" s="283"/>
      <c r="K10" s="277"/>
      <c r="L10" s="284"/>
      <c r="M10" s="284"/>
      <c r="N10" s="262">
        <f>IF(L11=0,0,(H11-H9)/(L11-L9))</f>
        <v>700</v>
      </c>
      <c r="O10" s="262">
        <f>IF(L11-L9&lt;0,0,L11-L9)</f>
        <v>1000</v>
      </c>
    </row>
    <row r="11" spans="1:15" ht="13.5" customHeight="1" thickBot="1">
      <c r="A11" s="262" t="str">
        <f>IF(C11=0,0,CONCATENATE(B11," ",$D$2))</f>
        <v>4 DK</v>
      </c>
      <c r="B11" s="263">
        <v>4</v>
      </c>
      <c r="C11" s="267">
        <f>C9-100</f>
        <v>1800</v>
      </c>
      <c r="D11" s="285">
        <f>D9+1000</f>
        <v>4000</v>
      </c>
      <c r="E11" s="286">
        <f>D11*C11</f>
        <v>7200000</v>
      </c>
      <c r="F11" s="287">
        <f>IF(C11=0,0,$F$5)</f>
        <v>800</v>
      </c>
      <c r="G11" s="286">
        <f>F11*D11</f>
        <v>3200000</v>
      </c>
      <c r="H11" s="288">
        <f>E11-G11</f>
        <v>4000000</v>
      </c>
      <c r="I11" s="289">
        <f>IF(C11=0,0,$I$5)</f>
        <v>0</v>
      </c>
      <c r="J11" s="290">
        <f>H11-I11</f>
        <v>4000000</v>
      </c>
      <c r="K11" s="271">
        <f>C11-F11</f>
        <v>1000</v>
      </c>
      <c r="L11" s="273">
        <f>D11/$D$3</f>
        <v>4000</v>
      </c>
      <c r="M11" s="273">
        <f>IF(L11=0,0,H11/L11)</f>
        <v>1000</v>
      </c>
      <c r="N11" s="291"/>
      <c r="O11" s="276"/>
    </row>
    <row r="12" spans="1:15" ht="13.5" customHeight="1" thickBot="1">
      <c r="A12" s="276"/>
      <c r="B12" s="277"/>
      <c r="C12" s="278"/>
      <c r="D12" s="279"/>
      <c r="E12" s="280"/>
      <c r="F12" s="294"/>
      <c r="G12" s="280"/>
      <c r="H12" s="281"/>
      <c r="I12" s="293"/>
      <c r="J12" s="283"/>
      <c r="K12" s="277"/>
      <c r="L12" s="284"/>
      <c r="M12" s="284"/>
      <c r="N12" s="262">
        <f>IF(L13=0,0,(H13-H11)/(L13-L11))</f>
        <v>500</v>
      </c>
      <c r="O12" s="262">
        <f>IF(L13-L11&lt;0,0,L13-L11)</f>
        <v>1000</v>
      </c>
    </row>
    <row r="13" spans="1:15" ht="13.5" customHeight="1" thickBot="1">
      <c r="A13" s="262" t="str">
        <f>IF(C13=0,0,CONCATENATE(B13," ",$D$2))</f>
        <v>5 DK</v>
      </c>
      <c r="B13" s="263">
        <v>5</v>
      </c>
      <c r="C13" s="267">
        <f>C11-100</f>
        <v>1700</v>
      </c>
      <c r="D13" s="285">
        <f>D11+1000</f>
        <v>5000</v>
      </c>
      <c r="E13" s="286">
        <f>D13*C13</f>
        <v>8500000</v>
      </c>
      <c r="F13" s="287">
        <v>800</v>
      </c>
      <c r="G13" s="286">
        <f>F13*D13</f>
        <v>4000000</v>
      </c>
      <c r="H13" s="288">
        <f>E13-G13</f>
        <v>4500000</v>
      </c>
      <c r="I13" s="289">
        <f>IF(C13=0,0,$I$5)</f>
        <v>0</v>
      </c>
      <c r="J13" s="290">
        <f>H13-I13</f>
        <v>4500000</v>
      </c>
      <c r="K13" s="271">
        <f>C13-F13</f>
        <v>900</v>
      </c>
      <c r="L13" s="273">
        <f>D13/$D$3</f>
        <v>5000</v>
      </c>
      <c r="M13" s="273">
        <f>IF(L13=0,0,H13/L13)</f>
        <v>900</v>
      </c>
      <c r="N13" s="291"/>
      <c r="O13" s="276"/>
    </row>
    <row r="14" spans="1:15" ht="13.5" customHeight="1" thickBot="1">
      <c r="A14" s="276"/>
      <c r="B14" s="277"/>
      <c r="C14" s="278"/>
      <c r="D14" s="279"/>
      <c r="E14" s="280"/>
      <c r="F14" s="294"/>
      <c r="G14" s="280"/>
      <c r="H14" s="281"/>
      <c r="I14" s="293"/>
      <c r="J14" s="283"/>
      <c r="K14" s="277"/>
      <c r="L14" s="284"/>
      <c r="M14" s="284"/>
      <c r="N14" s="262">
        <f>IF(L15=0,0,(H15-H13)/(L15-L13))</f>
        <v>300</v>
      </c>
      <c r="O14" s="262">
        <f>IF(L15-L13&lt;0,0,L15-L13)</f>
        <v>1000</v>
      </c>
    </row>
    <row r="15" spans="1:15" ht="13.5" customHeight="1" thickBot="1">
      <c r="A15" s="262" t="str">
        <f>IF(C15=0,0,CONCATENATE(B15," ",$D$2))</f>
        <v>6 DK</v>
      </c>
      <c r="B15" s="263">
        <v>6</v>
      </c>
      <c r="C15" s="267">
        <f>C13-100</f>
        <v>1600</v>
      </c>
      <c r="D15" s="285">
        <f>D13+1000</f>
        <v>6000</v>
      </c>
      <c r="E15" s="286">
        <f>D15*C15</f>
        <v>9600000</v>
      </c>
      <c r="F15" s="287">
        <v>800</v>
      </c>
      <c r="G15" s="286">
        <f>F15*D15</f>
        <v>4800000</v>
      </c>
      <c r="H15" s="288">
        <f>E15-G15</f>
        <v>4800000</v>
      </c>
      <c r="I15" s="289">
        <f>IF(C15=0,0,$I$5)</f>
        <v>0</v>
      </c>
      <c r="J15" s="290">
        <f>H15-I15</f>
        <v>4800000</v>
      </c>
      <c r="K15" s="271">
        <f>C15-F15</f>
        <v>800</v>
      </c>
      <c r="L15" s="273">
        <f>D15/$D$3</f>
        <v>6000</v>
      </c>
      <c r="M15" s="273">
        <f>IF(L15=0,0,H15/L15)</f>
        <v>800</v>
      </c>
      <c r="N15" s="291"/>
      <c r="O15" s="276"/>
    </row>
    <row r="16" spans="1:15" ht="13.5" customHeight="1" thickBot="1">
      <c r="A16" s="276"/>
      <c r="B16" s="277"/>
      <c r="C16" s="278"/>
      <c r="D16" s="279"/>
      <c r="E16" s="280"/>
      <c r="F16" s="292"/>
      <c r="G16" s="280"/>
      <c r="H16" s="281"/>
      <c r="I16" s="293"/>
      <c r="J16" s="283"/>
      <c r="K16" s="277"/>
      <c r="L16" s="284"/>
      <c r="M16" s="284"/>
      <c r="N16" s="262">
        <f>IF(L17=0,0,(H17-H15)/(L17-L15))</f>
        <v>0</v>
      </c>
      <c r="O16" s="262">
        <f>IF(L17-L15&lt;0,0,L17-L15)</f>
        <v>0</v>
      </c>
    </row>
    <row r="17" spans="1:15" ht="13.5" customHeight="1" thickBot="1">
      <c r="A17" s="262">
        <f>IF(C17=0,0,CONCATENATE(B17," ",$D$2))</f>
        <v>0</v>
      </c>
      <c r="B17" s="263">
        <v>7</v>
      </c>
      <c r="C17" s="267">
        <v>0</v>
      </c>
      <c r="D17" s="285">
        <v>0</v>
      </c>
      <c r="E17" s="286">
        <f>D17*C17</f>
        <v>0</v>
      </c>
      <c r="F17" s="287">
        <f>IF(C17=0,0,$F$5)</f>
        <v>0</v>
      </c>
      <c r="G17" s="286">
        <f>F17*D17</f>
        <v>0</v>
      </c>
      <c r="H17" s="288">
        <f>E17-G17</f>
        <v>0</v>
      </c>
      <c r="I17" s="289">
        <f>IF(C17=0,0,$I$5)</f>
        <v>0</v>
      </c>
      <c r="J17" s="290">
        <f>H17-I17</f>
        <v>0</v>
      </c>
      <c r="K17" s="271">
        <f>C17-F17</f>
        <v>0</v>
      </c>
      <c r="L17" s="273">
        <f>D17/$D$3</f>
        <v>0</v>
      </c>
      <c r="M17" s="273">
        <f>IF(L17=0,0,H17/L17)</f>
        <v>0</v>
      </c>
      <c r="N17" s="291"/>
      <c r="O17" s="276"/>
    </row>
    <row r="18" spans="1:15" ht="13.5" customHeight="1" thickBot="1">
      <c r="A18" s="276"/>
      <c r="B18" s="277"/>
      <c r="C18" s="295"/>
      <c r="D18" s="296"/>
      <c r="E18" s="297"/>
      <c r="F18" s="292"/>
      <c r="G18" s="297"/>
      <c r="H18" s="298"/>
      <c r="I18" s="293"/>
      <c r="J18" s="299"/>
      <c r="K18" s="277"/>
      <c r="L18" s="284"/>
      <c r="M18" s="284"/>
      <c r="N18" s="262">
        <f>IF(L19=0,0,(H19-H17)/(L19-L17))</f>
        <v>0</v>
      </c>
      <c r="O18" s="262">
        <f>IF(L19-L17&lt;0,0,L19-L17)</f>
        <v>0</v>
      </c>
    </row>
    <row r="19" spans="1:15" ht="12.75" customHeight="1" thickBot="1">
      <c r="A19" s="262">
        <f>IF(C19=0,0,CONCATENATE(B19," ",$D$2))</f>
        <v>0</v>
      </c>
      <c r="B19" s="263">
        <v>8</v>
      </c>
      <c r="C19" s="267">
        <v>0</v>
      </c>
      <c r="D19" s="285">
        <v>0</v>
      </c>
      <c r="E19" s="286">
        <f>D19*C19</f>
        <v>0</v>
      </c>
      <c r="F19" s="287">
        <f>IF(C19=0,0,$F$5)</f>
        <v>0</v>
      </c>
      <c r="G19" s="286">
        <f>F19*D19</f>
        <v>0</v>
      </c>
      <c r="H19" s="288">
        <f>E19-G19</f>
        <v>0</v>
      </c>
      <c r="I19" s="289">
        <f>IF(C19=0,0,$I$5)</f>
        <v>0</v>
      </c>
      <c r="J19" s="290">
        <f>H19-I19</f>
        <v>0</v>
      </c>
      <c r="K19" s="300">
        <f>C19-F19</f>
        <v>0</v>
      </c>
      <c r="L19" s="273">
        <f>D19/$D$3</f>
        <v>0</v>
      </c>
      <c r="M19" s="273">
        <f>IF(L19=0,0,H19/L19)</f>
        <v>0</v>
      </c>
      <c r="N19" s="291"/>
      <c r="O19" s="276"/>
    </row>
    <row r="20" spans="1:14" ht="13.5" customHeight="1" thickBot="1">
      <c r="A20" s="276"/>
      <c r="B20" s="277"/>
      <c r="C20" s="295"/>
      <c r="D20" s="296"/>
      <c r="E20" s="297"/>
      <c r="F20" s="294"/>
      <c r="G20" s="297"/>
      <c r="H20" s="298"/>
      <c r="I20" s="301"/>
      <c r="J20" s="299"/>
      <c r="K20" s="277"/>
      <c r="L20" s="284"/>
      <c r="M20" s="284"/>
      <c r="N20" s="302"/>
    </row>
    <row r="21" spans="3:14" ht="12.75" hidden="1">
      <c r="C21" s="303"/>
      <c r="D21" s="304"/>
      <c r="E21" s="304"/>
      <c r="F21" s="303"/>
      <c r="G21" s="304"/>
      <c r="H21" s="304"/>
      <c r="I21" s="304"/>
      <c r="J21" s="304"/>
      <c r="K21" s="305"/>
      <c r="L21" s="302"/>
      <c r="M21" s="302"/>
      <c r="N21" s="306"/>
    </row>
    <row r="22" spans="3:14" ht="12.75" hidden="1">
      <c r="C22" s="303"/>
      <c r="D22" s="304"/>
      <c r="E22" s="304"/>
      <c r="F22" s="303"/>
      <c r="G22" s="304"/>
      <c r="H22" s="304"/>
      <c r="I22" s="304"/>
      <c r="J22" s="304"/>
      <c r="K22" s="306"/>
      <c r="L22" s="306"/>
      <c r="M22" s="302"/>
      <c r="N22" s="302"/>
    </row>
    <row r="23" spans="3:14" ht="12.75" hidden="1">
      <c r="C23" s="303"/>
      <c r="D23" s="304"/>
      <c r="E23" s="304"/>
      <c r="F23" s="303"/>
      <c r="G23" s="304"/>
      <c r="H23" s="304"/>
      <c r="I23" s="304"/>
      <c r="J23" s="304"/>
      <c r="K23" s="305"/>
      <c r="L23" s="302"/>
      <c r="M23" s="302"/>
      <c r="N23" s="306"/>
    </row>
    <row r="24" spans="3:13" ht="12.75" hidden="1">
      <c r="C24" s="303"/>
      <c r="D24" s="304"/>
      <c r="E24" s="304"/>
      <c r="F24" s="303"/>
      <c r="G24" s="304"/>
      <c r="H24" s="304"/>
      <c r="I24" s="304"/>
      <c r="J24" s="304"/>
      <c r="K24" s="306"/>
      <c r="L24" s="306"/>
      <c r="M24" s="302"/>
    </row>
    <row r="25" spans="3:10" ht="21">
      <c r="C25" s="249" t="s">
        <v>179</v>
      </c>
      <c r="D25" s="307">
        <f>MAX(J5:J24)</f>
        <v>4800000</v>
      </c>
      <c r="E25" s="249" t="s">
        <v>180</v>
      </c>
      <c r="F25" s="308"/>
      <c r="G25" s="309"/>
      <c r="H25" s="308"/>
      <c r="I25" s="308"/>
      <c r="J25" s="310"/>
    </row>
    <row r="26" spans="3:10" ht="21">
      <c r="C26" s="311" t="s">
        <v>181</v>
      </c>
      <c r="D26" s="309">
        <f>IF(D25=J5,C5,IF(D25=J7,C7,IF(D25=J9,C9,IF(D25=J11,C11,IF(D25=J13,C13,IF(D25=J15,C15,IF(D25=J17,C17,IF(D25=J19,C19,"ingen"))))))))</f>
        <v>1600</v>
      </c>
      <c r="E26" s="309"/>
      <c r="F26" s="308"/>
      <c r="G26" s="309"/>
      <c r="H26" s="308"/>
      <c r="I26" s="308"/>
      <c r="J26" s="310"/>
    </row>
    <row r="27" spans="3:10" ht="21">
      <c r="C27" s="311" t="s">
        <v>182</v>
      </c>
      <c r="D27" s="309">
        <f>IF($D$25=J5,D5,IF($D$25=J7,D7,IF($D$25=J9,D9,IF($D$25=J11,D11,IF($D$25=J13,D13,IF($D$25=J15,D15,IF($D$25=J17,D17,IF(D26=J19,D19,"ingen"))))))))</f>
        <v>6000</v>
      </c>
      <c r="E27" s="309"/>
      <c r="F27" s="308"/>
      <c r="G27" s="309"/>
      <c r="H27" s="308"/>
      <c r="I27" s="308"/>
      <c r="J27" s="310"/>
    </row>
    <row r="28" spans="3:10" ht="21" hidden="1">
      <c r="C28" s="311"/>
      <c r="D28" s="309"/>
      <c r="E28" s="309"/>
      <c r="F28" s="308"/>
      <c r="G28" s="309"/>
      <c r="H28" s="308"/>
      <c r="I28" s="308"/>
      <c r="J28" s="310"/>
    </row>
    <row r="29" ht="18">
      <c r="C29" s="250"/>
    </row>
    <row r="30" spans="3:4" ht="15.75">
      <c r="C30" s="251" t="s">
        <v>161</v>
      </c>
      <c r="D30" s="312" t="s">
        <v>183</v>
      </c>
    </row>
    <row r="31" spans="3:5" ht="16.5" thickBot="1">
      <c r="C31" s="251" t="s">
        <v>163</v>
      </c>
      <c r="D31" s="312">
        <v>1</v>
      </c>
      <c r="E31" s="249" t="s">
        <v>164</v>
      </c>
    </row>
    <row r="32" spans="1:15" ht="30.75" thickBot="1">
      <c r="A32" s="313" t="str">
        <f>A4</f>
        <v>Navn</v>
      </c>
      <c r="B32" s="253" t="str">
        <f>B4</f>
        <v>Nr.</v>
      </c>
      <c r="C32" s="254" t="s">
        <v>167</v>
      </c>
      <c r="D32" s="255" t="s">
        <v>168</v>
      </c>
      <c r="E32" s="255" t="s">
        <v>28</v>
      </c>
      <c r="F32" s="255" t="s">
        <v>169</v>
      </c>
      <c r="G32" s="255" t="s">
        <v>170</v>
      </c>
      <c r="H32" s="255" t="s">
        <v>171</v>
      </c>
      <c r="I32" s="255" t="s">
        <v>172</v>
      </c>
      <c r="J32" s="256" t="s">
        <v>173</v>
      </c>
      <c r="K32" s="257" t="s">
        <v>174</v>
      </c>
      <c r="L32" s="258" t="s">
        <v>175</v>
      </c>
      <c r="M32" s="259" t="s">
        <v>176</v>
      </c>
      <c r="N32" s="260" t="s">
        <v>177</v>
      </c>
      <c r="O32" s="261" t="s">
        <v>184</v>
      </c>
    </row>
    <row r="33" spans="1:15" ht="13.5" thickBot="1">
      <c r="A33" s="262" t="str">
        <f>IF(C33=0,0,CONCATENATE(B33," ",$D$30))</f>
        <v>1 Tysk</v>
      </c>
      <c r="B33" s="263">
        <f>B5</f>
        <v>1</v>
      </c>
      <c r="C33" s="314">
        <v>2150</v>
      </c>
      <c r="D33" s="315">
        <v>1000</v>
      </c>
      <c r="E33" s="266">
        <f>D33*C33</f>
        <v>2150000</v>
      </c>
      <c r="F33" s="316">
        <v>1200</v>
      </c>
      <c r="G33" s="266">
        <f>F33*D33</f>
        <v>1200000</v>
      </c>
      <c r="H33" s="268">
        <f>E33-G33</f>
        <v>950000</v>
      </c>
      <c r="I33" s="317">
        <v>0</v>
      </c>
      <c r="J33" s="270">
        <f>H33-I33</f>
        <v>950000</v>
      </c>
      <c r="K33" s="271">
        <f>C33-F33</f>
        <v>950</v>
      </c>
      <c r="L33" s="272">
        <f>D33/$D$31</f>
        <v>1000</v>
      </c>
      <c r="M33" s="273">
        <f>IF(L33=0,0,H33/L33)</f>
        <v>950</v>
      </c>
      <c r="N33" s="274">
        <f>IF(L33=0,0,H33/L33)</f>
        <v>950</v>
      </c>
      <c r="O33" s="275">
        <f>L33</f>
        <v>1000</v>
      </c>
    </row>
    <row r="34" spans="1:15" ht="13.5" thickBot="1">
      <c r="A34" s="276"/>
      <c r="B34" s="277"/>
      <c r="C34" s="318"/>
      <c r="D34" s="319"/>
      <c r="E34" s="280"/>
      <c r="F34" s="318"/>
      <c r="G34" s="280"/>
      <c r="H34" s="281"/>
      <c r="I34" s="320"/>
      <c r="J34" s="283"/>
      <c r="K34" s="277"/>
      <c r="L34" s="277"/>
      <c r="M34" s="284"/>
      <c r="N34" s="262">
        <f>IF(L35=0,0,(H35-H33)/(L35-L33))</f>
        <v>850</v>
      </c>
      <c r="O34" s="262">
        <f>IF(L35-L33&lt;0,0,(L35-L33))</f>
        <v>1000</v>
      </c>
    </row>
    <row r="35" spans="1:15" ht="13.5" thickBot="1">
      <c r="A35" s="262" t="str">
        <f>IF(C35=0,0,CONCATENATE(B35," ",$D$30))</f>
        <v>2 Tysk</v>
      </c>
      <c r="B35" s="263">
        <f>B7</f>
        <v>2</v>
      </c>
      <c r="C35" s="316">
        <f>C33-50</f>
        <v>2100</v>
      </c>
      <c r="D35" s="321">
        <f>D33+1000</f>
        <v>2000</v>
      </c>
      <c r="E35" s="286">
        <f>D35*C35</f>
        <v>4200000</v>
      </c>
      <c r="F35" s="287">
        <f>IF(C35=0,0,$F$33)</f>
        <v>1200</v>
      </c>
      <c r="G35" s="286">
        <f>F35*D35</f>
        <v>2400000</v>
      </c>
      <c r="H35" s="288">
        <f>E35-G35</f>
        <v>1800000</v>
      </c>
      <c r="I35" s="289">
        <f>IF(C35=0,0,$I$33)</f>
        <v>0</v>
      </c>
      <c r="J35" s="290">
        <f>H35-I35</f>
        <v>1800000</v>
      </c>
      <c r="K35" s="271">
        <f>C35-F35</f>
        <v>900</v>
      </c>
      <c r="L35" s="272">
        <f>D35/$D$31</f>
        <v>2000</v>
      </c>
      <c r="M35" s="273">
        <f>IF(L35=0,0,H35/L35)</f>
        <v>900</v>
      </c>
      <c r="N35" s="291"/>
      <c r="O35" s="276"/>
    </row>
    <row r="36" spans="1:15" ht="13.5" thickBot="1">
      <c r="A36" s="276"/>
      <c r="B36" s="277"/>
      <c r="C36" s="318"/>
      <c r="D36" s="319"/>
      <c r="E36" s="280"/>
      <c r="F36" s="292"/>
      <c r="G36" s="280"/>
      <c r="H36" s="281"/>
      <c r="I36" s="293"/>
      <c r="J36" s="283"/>
      <c r="K36" s="277"/>
      <c r="L36" s="277"/>
      <c r="M36" s="284"/>
      <c r="N36" s="262">
        <f>IF(L37=0,0,(H37-H35)/(L37-L35))</f>
        <v>750</v>
      </c>
      <c r="O36" s="262">
        <f>IF(L37-L35&lt;0,0,(L37-L35))</f>
        <v>1000</v>
      </c>
    </row>
    <row r="37" spans="1:15" ht="13.5" customHeight="1" thickBot="1">
      <c r="A37" s="262" t="str">
        <f>IF(C37=0,0,CONCATENATE(B37," ",$D$30))</f>
        <v>3 Tysk</v>
      </c>
      <c r="B37" s="263">
        <f>B9</f>
        <v>3</v>
      </c>
      <c r="C37" s="316">
        <f>C35-50</f>
        <v>2050</v>
      </c>
      <c r="D37" s="321">
        <f>D35+1000</f>
        <v>3000</v>
      </c>
      <c r="E37" s="286">
        <f>D37*C37</f>
        <v>6150000</v>
      </c>
      <c r="F37" s="287">
        <f>IF(C37=0,0,$F$33)</f>
        <v>1200</v>
      </c>
      <c r="G37" s="286">
        <f>F37*D37</f>
        <v>3600000</v>
      </c>
      <c r="H37" s="288">
        <f>E37-G37</f>
        <v>2550000</v>
      </c>
      <c r="I37" s="289">
        <f>IF(C37=0,0,$I$33)</f>
        <v>0</v>
      </c>
      <c r="J37" s="290">
        <f>H37-I37</f>
        <v>2550000</v>
      </c>
      <c r="K37" s="271">
        <f>C37-F37</f>
        <v>850</v>
      </c>
      <c r="L37" s="272">
        <f>D37/$D$31</f>
        <v>3000</v>
      </c>
      <c r="M37" s="273">
        <f>IF(L37=0,0,H37/L37)</f>
        <v>850</v>
      </c>
      <c r="N37" s="291"/>
      <c r="O37" s="276"/>
    </row>
    <row r="38" spans="1:15" ht="13.5" customHeight="1" thickBot="1">
      <c r="A38" s="276"/>
      <c r="B38" s="277"/>
      <c r="C38" s="318"/>
      <c r="D38" s="319"/>
      <c r="E38" s="280"/>
      <c r="F38" s="292"/>
      <c r="G38" s="280"/>
      <c r="H38" s="281"/>
      <c r="I38" s="293"/>
      <c r="J38" s="283"/>
      <c r="K38" s="277"/>
      <c r="L38" s="277"/>
      <c r="M38" s="284"/>
      <c r="N38" s="262">
        <f>IF(L39=0,0,(H39-H37)/(L39-L37))</f>
        <v>650</v>
      </c>
      <c r="O38" s="262">
        <f>IF(L39-L37&lt;0,0,(L39-L37))</f>
        <v>1000</v>
      </c>
    </row>
    <row r="39" spans="1:15" ht="13.5" customHeight="1" thickBot="1">
      <c r="A39" s="262" t="str">
        <f>IF(C39=0,0,CONCATENATE(B39," ",$D$30))</f>
        <v>4 Tysk</v>
      </c>
      <c r="B39" s="263">
        <f>B11</f>
        <v>4</v>
      </c>
      <c r="C39" s="316">
        <f>C37-50</f>
        <v>2000</v>
      </c>
      <c r="D39" s="321">
        <f>D37+1000</f>
        <v>4000</v>
      </c>
      <c r="E39" s="286">
        <f>D39*C39</f>
        <v>8000000</v>
      </c>
      <c r="F39" s="287">
        <f>IF(C39=0,0,$F$33)</f>
        <v>1200</v>
      </c>
      <c r="G39" s="286">
        <f>F39*D39</f>
        <v>4800000</v>
      </c>
      <c r="H39" s="288">
        <f>E39-G39</f>
        <v>3200000</v>
      </c>
      <c r="I39" s="289">
        <f>IF(C39=0,0,$I$33)</f>
        <v>0</v>
      </c>
      <c r="J39" s="290">
        <f>H39-I39</f>
        <v>3200000</v>
      </c>
      <c r="K39" s="271">
        <f>C39-F39</f>
        <v>800</v>
      </c>
      <c r="L39" s="272">
        <f>D39/$D$31</f>
        <v>4000</v>
      </c>
      <c r="M39" s="273">
        <f>IF(L39=0,0,H39/L39)</f>
        <v>800</v>
      </c>
      <c r="N39" s="291"/>
      <c r="O39" s="276"/>
    </row>
    <row r="40" spans="1:15" ht="13.5" customHeight="1" thickBot="1">
      <c r="A40" s="276"/>
      <c r="B40" s="277"/>
      <c r="C40" s="318"/>
      <c r="D40" s="319"/>
      <c r="E40" s="280"/>
      <c r="F40" s="292"/>
      <c r="G40" s="280"/>
      <c r="H40" s="281"/>
      <c r="I40" s="293"/>
      <c r="J40" s="283"/>
      <c r="K40" s="277"/>
      <c r="L40" s="277"/>
      <c r="M40" s="284"/>
      <c r="N40" s="262">
        <f>IF(L41=0,0,(H41-H39)/(L41-L39))</f>
        <v>550</v>
      </c>
      <c r="O40" s="262">
        <f>IF(L41-L39&lt;0,0,(L41-L39))</f>
        <v>1000</v>
      </c>
    </row>
    <row r="41" spans="1:15" ht="13.5" customHeight="1" thickBot="1">
      <c r="A41" s="262" t="str">
        <f>IF(C41=0,0,CONCATENATE(B41," ",$D$30))</f>
        <v>5 Tysk</v>
      </c>
      <c r="B41" s="263">
        <f>B13</f>
        <v>5</v>
      </c>
      <c r="C41" s="316">
        <f>C39-50</f>
        <v>1950</v>
      </c>
      <c r="D41" s="321">
        <f>D39+1000</f>
        <v>5000</v>
      </c>
      <c r="E41" s="286">
        <f>D41*C41</f>
        <v>9750000</v>
      </c>
      <c r="F41" s="287">
        <v>1200</v>
      </c>
      <c r="G41" s="286">
        <f>F41*D41</f>
        <v>6000000</v>
      </c>
      <c r="H41" s="288">
        <f>E41-G41</f>
        <v>3750000</v>
      </c>
      <c r="I41" s="289">
        <f>IF(C41=0,0,$I$33)</f>
        <v>0</v>
      </c>
      <c r="J41" s="290">
        <f>H41-I41</f>
        <v>3750000</v>
      </c>
      <c r="K41" s="271">
        <f>C41-F41</f>
        <v>750</v>
      </c>
      <c r="L41" s="272">
        <f>D41/$D$31</f>
        <v>5000</v>
      </c>
      <c r="M41" s="273">
        <f>IF(L41=0,0,H41/L41)</f>
        <v>750</v>
      </c>
      <c r="N41" s="291"/>
      <c r="O41" s="276"/>
    </row>
    <row r="42" spans="1:15" ht="13.5" customHeight="1" thickBot="1">
      <c r="A42" s="276"/>
      <c r="B42" s="277"/>
      <c r="C42" s="318"/>
      <c r="D42" s="319"/>
      <c r="E42" s="280"/>
      <c r="F42" s="292"/>
      <c r="G42" s="280"/>
      <c r="H42" s="281"/>
      <c r="I42" s="293"/>
      <c r="J42" s="283"/>
      <c r="K42" s="277"/>
      <c r="L42" s="277"/>
      <c r="M42" s="284"/>
      <c r="N42" s="262">
        <f>IF(L43=0,0,(H43-H41)/(L43-L41))</f>
        <v>450</v>
      </c>
      <c r="O42" s="262">
        <f>IF(L43-L41&lt;0,0,(L43-L41))</f>
        <v>1000</v>
      </c>
    </row>
    <row r="43" spans="1:15" ht="13.5" customHeight="1" thickBot="1">
      <c r="A43" s="262" t="str">
        <f>IF(C43=0,0,CONCATENATE(B43," ",$D$30))</f>
        <v>6 Tysk</v>
      </c>
      <c r="B43" s="263">
        <f>B15</f>
        <v>6</v>
      </c>
      <c r="C43" s="316">
        <f>C41-50</f>
        <v>1900</v>
      </c>
      <c r="D43" s="321">
        <f>D41+1000</f>
        <v>6000</v>
      </c>
      <c r="E43" s="286">
        <f>D43*C43</f>
        <v>11400000</v>
      </c>
      <c r="F43" s="287">
        <v>1200</v>
      </c>
      <c r="G43" s="286">
        <f>F43*D43</f>
        <v>7200000</v>
      </c>
      <c r="H43" s="288">
        <f>E43-G43</f>
        <v>4200000</v>
      </c>
      <c r="I43" s="289">
        <f>IF(C43=0,0,$I$33)</f>
        <v>0</v>
      </c>
      <c r="J43" s="290">
        <f>H43-I43</f>
        <v>4200000</v>
      </c>
      <c r="K43" s="271">
        <f>C43-F43</f>
        <v>700</v>
      </c>
      <c r="L43" s="272">
        <f>D43/$D$31</f>
        <v>6000</v>
      </c>
      <c r="M43" s="273">
        <f>IF(L43=0,0,H43/L43)</f>
        <v>700</v>
      </c>
      <c r="N43" s="291"/>
      <c r="O43" s="276"/>
    </row>
    <row r="44" spans="1:15" ht="13.5" customHeight="1" thickBot="1">
      <c r="A44" s="276"/>
      <c r="B44" s="277"/>
      <c r="C44" s="318"/>
      <c r="D44" s="319"/>
      <c r="E44" s="280"/>
      <c r="F44" s="292"/>
      <c r="G44" s="280"/>
      <c r="H44" s="281"/>
      <c r="I44" s="293"/>
      <c r="J44" s="283"/>
      <c r="K44" s="277"/>
      <c r="L44" s="277"/>
      <c r="M44" s="284"/>
      <c r="N44" s="262">
        <f>IF(L45=0,0,(H45-H43)/(L45-L43))</f>
        <v>350</v>
      </c>
      <c r="O44" s="262">
        <f>IF(L45-L43&lt;0,0,(L45-L43))</f>
        <v>1000</v>
      </c>
    </row>
    <row r="45" spans="1:15" ht="13.5" customHeight="1" thickBot="1">
      <c r="A45" s="262" t="str">
        <f>IF(C45=0,0,CONCATENATE(B45," ",$D$30))</f>
        <v>7 Tysk</v>
      </c>
      <c r="B45" s="263">
        <f>B17</f>
        <v>7</v>
      </c>
      <c r="C45" s="316">
        <f>C43-50</f>
        <v>1850</v>
      </c>
      <c r="D45" s="321">
        <f>D43+1000</f>
        <v>7000</v>
      </c>
      <c r="E45" s="286">
        <f>D45*C45</f>
        <v>12950000</v>
      </c>
      <c r="F45" s="287">
        <v>1200</v>
      </c>
      <c r="G45" s="286">
        <f>F45*D45</f>
        <v>8400000</v>
      </c>
      <c r="H45" s="288">
        <f>E45-G45</f>
        <v>4550000</v>
      </c>
      <c r="I45" s="289">
        <f>IF(C45=0,0,$I$33)</f>
        <v>0</v>
      </c>
      <c r="J45" s="290">
        <f>H45-I45</f>
        <v>4550000</v>
      </c>
      <c r="K45" s="271">
        <f>C45-F45</f>
        <v>650</v>
      </c>
      <c r="L45" s="272">
        <f>D45/$D$31</f>
        <v>7000</v>
      </c>
      <c r="M45" s="273">
        <f>IF(L45=0,0,H45/L45)</f>
        <v>650</v>
      </c>
      <c r="N45" s="291"/>
      <c r="O45" s="276"/>
    </row>
    <row r="46" spans="1:15" ht="13.5" customHeight="1" thickBot="1">
      <c r="A46" s="276"/>
      <c r="B46" s="277"/>
      <c r="C46" s="318"/>
      <c r="D46" s="319"/>
      <c r="E46" s="297"/>
      <c r="F46" s="292"/>
      <c r="G46" s="297"/>
      <c r="H46" s="298"/>
      <c r="I46" s="293"/>
      <c r="J46" s="299"/>
      <c r="K46" s="277"/>
      <c r="L46" s="277"/>
      <c r="M46" s="284"/>
      <c r="N46" s="262">
        <f>IF(L47=0,0,(H47-H45)/(L47-L45))</f>
        <v>0</v>
      </c>
      <c r="O46" s="262">
        <f>IF(L47-L45&lt;0,0,(L47-L45))</f>
        <v>0</v>
      </c>
    </row>
    <row r="47" spans="1:15" ht="13.5" customHeight="1" thickBot="1">
      <c r="A47" s="262">
        <f>IF(C47=0,0,CONCATENATE(B47," ",$D$30))</f>
        <v>0</v>
      </c>
      <c r="B47" s="263">
        <f>B19</f>
        <v>8</v>
      </c>
      <c r="C47" s="316">
        <v>0</v>
      </c>
      <c r="D47" s="321">
        <v>0</v>
      </c>
      <c r="E47" s="286">
        <f>D47*C47</f>
        <v>0</v>
      </c>
      <c r="F47" s="287">
        <f>IF(C47=0,0,$F$33)</f>
        <v>0</v>
      </c>
      <c r="G47" s="286">
        <f>F47*D47</f>
        <v>0</v>
      </c>
      <c r="H47" s="288">
        <f>E47-G47</f>
        <v>0</v>
      </c>
      <c r="I47" s="289">
        <f>IF(C47=0,0,$I$33)</f>
        <v>0</v>
      </c>
      <c r="J47" s="290">
        <f>H47-I47</f>
        <v>0</v>
      </c>
      <c r="K47" s="300">
        <f>C47-F47</f>
        <v>0</v>
      </c>
      <c r="L47" s="272">
        <f>D47/$D$31</f>
        <v>0</v>
      </c>
      <c r="M47" s="273">
        <f>IF(L47=0,0,H47/L47)</f>
        <v>0</v>
      </c>
      <c r="N47" s="291"/>
      <c r="O47" s="276"/>
    </row>
    <row r="48" spans="1:14" ht="13.5" customHeight="1" thickBot="1">
      <c r="A48" s="276"/>
      <c r="B48" s="277"/>
      <c r="C48" s="322"/>
      <c r="D48" s="323"/>
      <c r="E48" s="297"/>
      <c r="F48" s="294"/>
      <c r="G48" s="297"/>
      <c r="H48" s="298"/>
      <c r="I48" s="301"/>
      <c r="J48" s="299"/>
      <c r="K48" s="277"/>
      <c r="L48" s="277"/>
      <c r="M48" s="284"/>
      <c r="N48" s="302"/>
    </row>
    <row r="49" spans="3:14" ht="12.75" hidden="1">
      <c r="C49" s="303"/>
      <c r="D49" s="304"/>
      <c r="E49" s="304"/>
      <c r="F49" s="303"/>
      <c r="G49" s="304"/>
      <c r="H49" s="304"/>
      <c r="I49" s="304"/>
      <c r="J49" s="304"/>
      <c r="K49" s="305"/>
      <c r="L49" s="302"/>
      <c r="M49" s="302"/>
      <c r="N49" s="306"/>
    </row>
    <row r="50" spans="3:14" ht="12.75" hidden="1">
      <c r="C50" s="303"/>
      <c r="D50" s="304"/>
      <c r="E50" s="304"/>
      <c r="F50" s="303"/>
      <c r="G50" s="304"/>
      <c r="H50" s="304"/>
      <c r="I50" s="304"/>
      <c r="J50" s="304"/>
      <c r="K50" s="306"/>
      <c r="L50" s="306"/>
      <c r="M50" s="302"/>
      <c r="N50" s="302"/>
    </row>
    <row r="51" spans="3:14" ht="12.75" hidden="1">
      <c r="C51" s="303"/>
      <c r="D51" s="304"/>
      <c r="E51" s="304"/>
      <c r="F51" s="303"/>
      <c r="G51" s="304"/>
      <c r="H51" s="304"/>
      <c r="I51" s="304"/>
      <c r="J51" s="304"/>
      <c r="K51" s="305"/>
      <c r="L51" s="302"/>
      <c r="M51" s="302"/>
      <c r="N51" s="306"/>
    </row>
    <row r="52" spans="3:13" ht="12.75" hidden="1">
      <c r="C52" s="303"/>
      <c r="D52" s="304"/>
      <c r="E52" s="304"/>
      <c r="F52" s="303"/>
      <c r="G52" s="304"/>
      <c r="H52" s="304"/>
      <c r="I52" s="304"/>
      <c r="J52" s="304"/>
      <c r="K52" s="306"/>
      <c r="L52" s="306"/>
      <c r="M52" s="302"/>
    </row>
    <row r="53" spans="3:10" ht="21">
      <c r="C53" s="249" t="s">
        <v>179</v>
      </c>
      <c r="D53" s="307">
        <f>MAX(J33:J52)</f>
        <v>4550000</v>
      </c>
      <c r="E53" s="249" t="s">
        <v>180</v>
      </c>
      <c r="F53" s="308"/>
      <c r="G53" s="309"/>
      <c r="H53" s="308"/>
      <c r="I53" s="308"/>
      <c r="J53" s="310"/>
    </row>
    <row r="54" spans="3:10" ht="21">
      <c r="C54" s="311" t="s">
        <v>181</v>
      </c>
      <c r="D54" s="309">
        <f>IF(D53=J33,C33,IF(D53=J35,C35,IF(D53=J37,C37,IF(D53=J39,C39,IF(D53=J41,C41,IF(D53=J43,C43,IF(D53=J45,C45,IF(D53=J47,C47,"ingen"))))))))</f>
        <v>1850</v>
      </c>
      <c r="E54" s="309"/>
      <c r="F54" s="308"/>
      <c r="G54" s="309"/>
      <c r="H54" s="308"/>
      <c r="I54" s="308"/>
      <c r="J54" s="310"/>
    </row>
    <row r="55" spans="3:10" ht="21">
      <c r="C55" s="311" t="s">
        <v>182</v>
      </c>
      <c r="D55" s="309">
        <f>IF(D53=J33,D33,IF(D53=J35,D35,IF(D53=J37,D37,IF(D53=J39,D39,IF(D53=J41,D41,IF(D53=J43,D43,IF(D53=J45,D45,IF(D53=J47,D47,"ingen"))))))))</f>
        <v>7000</v>
      </c>
      <c r="E55" s="309"/>
      <c r="F55" s="308"/>
      <c r="G55" s="309"/>
      <c r="H55" s="308"/>
      <c r="I55" s="308"/>
      <c r="J55" s="310"/>
    </row>
    <row r="56" ht="12.75"/>
    <row r="57" ht="17.25" hidden="1">
      <c r="C57" s="250"/>
    </row>
    <row r="58" spans="3:4" ht="15.75">
      <c r="C58" s="251" t="s">
        <v>161</v>
      </c>
      <c r="D58" s="324" t="s">
        <v>82</v>
      </c>
    </row>
    <row r="59" spans="3:5" ht="16.5" thickBot="1">
      <c r="C59" s="251" t="s">
        <v>163</v>
      </c>
      <c r="D59" s="324">
        <v>1</v>
      </c>
      <c r="E59" s="249" t="s">
        <v>164</v>
      </c>
    </row>
    <row r="60" spans="1:15" ht="30.75" thickBot="1">
      <c r="A60" s="313" t="str">
        <f>A32</f>
        <v>Navn</v>
      </c>
      <c r="B60" s="253" t="str">
        <f>B32</f>
        <v>Nr.</v>
      </c>
      <c r="C60" s="254" t="s">
        <v>167</v>
      </c>
      <c r="D60" s="255" t="s">
        <v>168</v>
      </c>
      <c r="E60" s="255" t="s">
        <v>28</v>
      </c>
      <c r="F60" s="255" t="s">
        <v>169</v>
      </c>
      <c r="G60" s="255" t="s">
        <v>170</v>
      </c>
      <c r="H60" s="255" t="s">
        <v>171</v>
      </c>
      <c r="I60" s="255" t="s">
        <v>172</v>
      </c>
      <c r="J60" s="256" t="s">
        <v>173</v>
      </c>
      <c r="K60" s="257" t="s">
        <v>174</v>
      </c>
      <c r="L60" s="258" t="s">
        <v>175</v>
      </c>
      <c r="M60" s="259" t="s">
        <v>176</v>
      </c>
      <c r="N60" s="260" t="s">
        <v>177</v>
      </c>
      <c r="O60" s="261" t="s">
        <v>184</v>
      </c>
    </row>
    <row r="61" spans="1:15" ht="13.5" thickBot="1">
      <c r="A61" s="262">
        <f>IF(C61=0,0,CONCATENATE(B61," ",$D$58))</f>
        <v>0</v>
      </c>
      <c r="B61" s="263">
        <f>B33</f>
        <v>1</v>
      </c>
      <c r="C61" s="325">
        <v>0</v>
      </c>
      <c r="D61" s="326">
        <v>0</v>
      </c>
      <c r="E61" s="266">
        <f>D61*C61</f>
        <v>0</v>
      </c>
      <c r="F61" s="327">
        <v>0</v>
      </c>
      <c r="G61" s="266">
        <f>F61*D61</f>
        <v>0</v>
      </c>
      <c r="H61" s="268">
        <f>E61-G61</f>
        <v>0</v>
      </c>
      <c r="I61" s="328">
        <v>0</v>
      </c>
      <c r="J61" s="270">
        <f>H61-I61</f>
        <v>0</v>
      </c>
      <c r="K61" s="271">
        <f>C61-F61</f>
        <v>0</v>
      </c>
      <c r="L61" s="272">
        <f>D61/$D$59</f>
        <v>0</v>
      </c>
      <c r="M61" s="273">
        <f>IF(L61=0,0,H61/L61)</f>
        <v>0</v>
      </c>
      <c r="N61" s="274">
        <f>IF(L61=0,0,H61/L61)</f>
        <v>0</v>
      </c>
      <c r="O61" s="275">
        <f>L61</f>
        <v>0</v>
      </c>
    </row>
    <row r="62" spans="1:15" ht="13.5" thickBot="1">
      <c r="A62" s="276"/>
      <c r="B62" s="277"/>
      <c r="C62" s="329"/>
      <c r="D62" s="330"/>
      <c r="E62" s="280"/>
      <c r="F62" s="329"/>
      <c r="G62" s="280"/>
      <c r="H62" s="281"/>
      <c r="I62" s="331"/>
      <c r="J62" s="283"/>
      <c r="K62" s="277"/>
      <c r="L62" s="277"/>
      <c r="M62" s="284"/>
      <c r="N62" s="262">
        <f>IF(L63=0,0,(H63-H61)/(L63-L61))</f>
        <v>0</v>
      </c>
      <c r="O62" s="262">
        <f>IF(L63-L61&lt;0,0,L63-L61)</f>
        <v>0</v>
      </c>
    </row>
    <row r="63" spans="1:15" ht="13.5" thickBot="1">
      <c r="A63" s="262">
        <f>IF(C63=0,0,CONCATENATE(B63," ",$D$58))</f>
        <v>0</v>
      </c>
      <c r="B63" s="263">
        <f>B35</f>
        <v>2</v>
      </c>
      <c r="C63" s="327">
        <v>0</v>
      </c>
      <c r="D63" s="332">
        <v>0</v>
      </c>
      <c r="E63" s="286">
        <f>D63*C63</f>
        <v>0</v>
      </c>
      <c r="F63" s="287">
        <f>IF(C63=0,0,$F$61)</f>
        <v>0</v>
      </c>
      <c r="G63" s="286">
        <f>F63*D63</f>
        <v>0</v>
      </c>
      <c r="H63" s="288">
        <f>E63-G63</f>
        <v>0</v>
      </c>
      <c r="I63" s="289">
        <f>IF(C63=0,0,$I$61)</f>
        <v>0</v>
      </c>
      <c r="J63" s="290">
        <f>H63-I63</f>
        <v>0</v>
      </c>
      <c r="K63" s="271">
        <f>C63-F63</f>
        <v>0</v>
      </c>
      <c r="L63" s="272">
        <f>D63/$D$59</f>
        <v>0</v>
      </c>
      <c r="M63" s="273">
        <f>IF(L63=0,0,H63/L63)</f>
        <v>0</v>
      </c>
      <c r="N63" s="291"/>
      <c r="O63" s="276"/>
    </row>
    <row r="64" spans="1:15" ht="13.5" thickBot="1">
      <c r="A64" s="276"/>
      <c r="B64" s="277"/>
      <c r="C64" s="329"/>
      <c r="D64" s="330"/>
      <c r="E64" s="280"/>
      <c r="F64" s="292"/>
      <c r="G64" s="280"/>
      <c r="H64" s="281"/>
      <c r="I64" s="293"/>
      <c r="J64" s="283"/>
      <c r="K64" s="277"/>
      <c r="L64" s="277"/>
      <c r="M64" s="284"/>
      <c r="N64" s="262">
        <f>IF(L65=0,0,(H65-H63)/(L65-L63))</f>
        <v>0</v>
      </c>
      <c r="O64" s="262">
        <f>IF(L65-L63&lt;0,0,L65-L63)</f>
        <v>0</v>
      </c>
    </row>
    <row r="65" spans="1:15" ht="13.5" customHeight="1" thickBot="1">
      <c r="A65" s="262">
        <f>IF(C65=0,0,CONCATENATE(B65," ",$D$58))</f>
        <v>0</v>
      </c>
      <c r="B65" s="263">
        <f>B37</f>
        <v>3</v>
      </c>
      <c r="C65" s="327">
        <v>0</v>
      </c>
      <c r="D65" s="332">
        <v>0</v>
      </c>
      <c r="E65" s="286">
        <f>D65*C65</f>
        <v>0</v>
      </c>
      <c r="F65" s="287">
        <f>IF(C65=0,0,$F$61)</f>
        <v>0</v>
      </c>
      <c r="G65" s="286">
        <f>F65*D65</f>
        <v>0</v>
      </c>
      <c r="H65" s="288">
        <f>E65-G65</f>
        <v>0</v>
      </c>
      <c r="I65" s="289">
        <f>IF(C65=0,0,$I$61)</f>
        <v>0</v>
      </c>
      <c r="J65" s="290">
        <f>H65-I65</f>
        <v>0</v>
      </c>
      <c r="K65" s="271">
        <f>C65-F65</f>
        <v>0</v>
      </c>
      <c r="L65" s="272">
        <f>D65/$D$59</f>
        <v>0</v>
      </c>
      <c r="M65" s="273">
        <f>IF(L65=0,0,H65/L65)</f>
        <v>0</v>
      </c>
      <c r="N65" s="291"/>
      <c r="O65" s="276"/>
    </row>
    <row r="66" spans="1:15" ht="13.5" customHeight="1" thickBot="1">
      <c r="A66" s="276"/>
      <c r="B66" s="277"/>
      <c r="C66" s="329"/>
      <c r="D66" s="330"/>
      <c r="E66" s="280"/>
      <c r="F66" s="292"/>
      <c r="G66" s="280"/>
      <c r="H66" s="281"/>
      <c r="I66" s="293"/>
      <c r="J66" s="283"/>
      <c r="K66" s="277"/>
      <c r="L66" s="277"/>
      <c r="M66" s="284"/>
      <c r="N66" s="262">
        <f>IF(L67=0,0,(H67-H65)/(L67-L65))</f>
        <v>0</v>
      </c>
      <c r="O66" s="262">
        <f>IF(L67-L65&lt;0,0,L67-L65)</f>
        <v>0</v>
      </c>
    </row>
    <row r="67" spans="1:15" ht="13.5" customHeight="1" thickBot="1">
      <c r="A67" s="262">
        <f>IF(C67=0,0,CONCATENATE(B67," ",$D$58))</f>
        <v>0</v>
      </c>
      <c r="B67" s="263">
        <f>B39</f>
        <v>4</v>
      </c>
      <c r="C67" s="327">
        <v>0</v>
      </c>
      <c r="D67" s="332">
        <v>0</v>
      </c>
      <c r="E67" s="286">
        <f>D67*C67</f>
        <v>0</v>
      </c>
      <c r="F67" s="287">
        <f>IF(C67=0,0,$F$61)</f>
        <v>0</v>
      </c>
      <c r="G67" s="286">
        <f>F67*D67</f>
        <v>0</v>
      </c>
      <c r="H67" s="288">
        <f>E67-G67</f>
        <v>0</v>
      </c>
      <c r="I67" s="289">
        <f>IF(C67=0,0,$I$61)</f>
        <v>0</v>
      </c>
      <c r="J67" s="290">
        <f>H67-I67</f>
        <v>0</v>
      </c>
      <c r="K67" s="271">
        <f>C67-F67</f>
        <v>0</v>
      </c>
      <c r="L67" s="272">
        <f>D67/$D$59</f>
        <v>0</v>
      </c>
      <c r="M67" s="273">
        <f>IF(L67=0,0,H67/L67)</f>
        <v>0</v>
      </c>
      <c r="N67" s="291"/>
      <c r="O67" s="276"/>
    </row>
    <row r="68" spans="1:15" ht="13.5" customHeight="1" thickBot="1">
      <c r="A68" s="276"/>
      <c r="B68" s="277"/>
      <c r="C68" s="329"/>
      <c r="D68" s="330"/>
      <c r="E68" s="280"/>
      <c r="F68" s="292"/>
      <c r="G68" s="280"/>
      <c r="H68" s="281"/>
      <c r="I68" s="293"/>
      <c r="J68" s="283"/>
      <c r="K68" s="277"/>
      <c r="L68" s="277"/>
      <c r="M68" s="284"/>
      <c r="N68" s="262">
        <f>IF(L69=0,0,(H69-H67)/(L69-L67))</f>
        <v>0</v>
      </c>
      <c r="O68" s="262">
        <f>IF(L69-L67&lt;0,0,L69-L67)</f>
        <v>0</v>
      </c>
    </row>
    <row r="69" spans="1:15" ht="13.5" customHeight="1" thickBot="1">
      <c r="A69" s="262">
        <f>IF(C69=0,0,CONCATENATE(B69," ",$D$58))</f>
        <v>0</v>
      </c>
      <c r="B69" s="263">
        <f>B41</f>
        <v>5</v>
      </c>
      <c r="C69" s="327">
        <v>0</v>
      </c>
      <c r="D69" s="332">
        <v>0</v>
      </c>
      <c r="E69" s="286">
        <f>D69*C69</f>
        <v>0</v>
      </c>
      <c r="F69" s="287">
        <f>IF(C69=0,0,$F$61)</f>
        <v>0</v>
      </c>
      <c r="G69" s="286">
        <f>F69*D69</f>
        <v>0</v>
      </c>
      <c r="H69" s="288">
        <f>E69-G69</f>
        <v>0</v>
      </c>
      <c r="I69" s="289">
        <f>IF(C69=0,0,$I$61)</f>
        <v>0</v>
      </c>
      <c r="J69" s="290">
        <f>H69-I69</f>
        <v>0</v>
      </c>
      <c r="K69" s="271">
        <f>C69-F69</f>
        <v>0</v>
      </c>
      <c r="L69" s="272">
        <f>D69/$D$59</f>
        <v>0</v>
      </c>
      <c r="M69" s="273">
        <f>IF(L69=0,0,H69/L69)</f>
        <v>0</v>
      </c>
      <c r="N69" s="291"/>
      <c r="O69" s="276"/>
    </row>
    <row r="70" spans="1:15" ht="13.5" customHeight="1" thickBot="1">
      <c r="A70" s="276"/>
      <c r="B70" s="277"/>
      <c r="C70" s="329"/>
      <c r="D70" s="330"/>
      <c r="E70" s="280"/>
      <c r="F70" s="292"/>
      <c r="G70" s="280"/>
      <c r="H70" s="281"/>
      <c r="I70" s="293"/>
      <c r="J70" s="283"/>
      <c r="K70" s="277"/>
      <c r="L70" s="277"/>
      <c r="M70" s="284"/>
      <c r="N70" s="262">
        <f>IF(L71=0,0,(H71-H69)/(L71-L69))</f>
        <v>0</v>
      </c>
      <c r="O70" s="262">
        <f>IF(L71-L69&lt;0,0,L71-L69)</f>
        <v>0</v>
      </c>
    </row>
    <row r="71" spans="1:15" ht="13.5" customHeight="1" thickBot="1">
      <c r="A71" s="262">
        <f>IF(C71=0,0,CONCATENATE(B71," ",$D$58))</f>
        <v>0</v>
      </c>
      <c r="B71" s="263">
        <f>B43</f>
        <v>6</v>
      </c>
      <c r="C71" s="327">
        <v>0</v>
      </c>
      <c r="D71" s="332">
        <v>0</v>
      </c>
      <c r="E71" s="286">
        <f>D71*C71</f>
        <v>0</v>
      </c>
      <c r="F71" s="287">
        <f>IF(C71=0,0,$F$61)</f>
        <v>0</v>
      </c>
      <c r="G71" s="286">
        <f>F71*D71</f>
        <v>0</v>
      </c>
      <c r="H71" s="288">
        <f>E71-G71</f>
        <v>0</v>
      </c>
      <c r="I71" s="289">
        <f>IF(C71=0,0,$I$61)</f>
        <v>0</v>
      </c>
      <c r="J71" s="290">
        <f>H71-I71</f>
        <v>0</v>
      </c>
      <c r="K71" s="271">
        <f>C71-F71</f>
        <v>0</v>
      </c>
      <c r="L71" s="272">
        <f>D71/$D$59</f>
        <v>0</v>
      </c>
      <c r="M71" s="273">
        <f>IF(L71=0,0,H71/L71)</f>
        <v>0</v>
      </c>
      <c r="N71" s="291"/>
      <c r="O71" s="276"/>
    </row>
    <row r="72" spans="1:15" ht="13.5" customHeight="1" thickBot="1">
      <c r="A72" s="276"/>
      <c r="B72" s="277"/>
      <c r="C72" s="329"/>
      <c r="D72" s="330"/>
      <c r="E72" s="280"/>
      <c r="F72" s="292"/>
      <c r="G72" s="280"/>
      <c r="H72" s="281"/>
      <c r="I72" s="293"/>
      <c r="J72" s="283"/>
      <c r="K72" s="277"/>
      <c r="L72" s="277"/>
      <c r="M72" s="284"/>
      <c r="N72" s="262">
        <f>IF(L73=0,0,(H73-H71)/(L73-L71))</f>
        <v>0</v>
      </c>
      <c r="O72" s="262">
        <f>IF(L73-L71&lt;0,0,L73-L71)</f>
        <v>0</v>
      </c>
    </row>
    <row r="73" spans="1:15" ht="13.5" customHeight="1" thickBot="1">
      <c r="A73" s="262">
        <f>IF(C73=0,0,CONCATENATE(B73," ",$D$58))</f>
        <v>0</v>
      </c>
      <c r="B73" s="263">
        <f>B45</f>
        <v>7</v>
      </c>
      <c r="C73" s="327">
        <v>0</v>
      </c>
      <c r="D73" s="332">
        <v>0</v>
      </c>
      <c r="E73" s="286">
        <f>D73*C73</f>
        <v>0</v>
      </c>
      <c r="F73" s="287">
        <f>IF(C73=0,0,$F$61)</f>
        <v>0</v>
      </c>
      <c r="G73" s="286">
        <f>F73*D73</f>
        <v>0</v>
      </c>
      <c r="H73" s="288">
        <f>E73-G73</f>
        <v>0</v>
      </c>
      <c r="I73" s="289">
        <f>IF(C73=0,0,$I$61)</f>
        <v>0</v>
      </c>
      <c r="J73" s="290">
        <f>H73-I73</f>
        <v>0</v>
      </c>
      <c r="K73" s="271">
        <f>C73-F73</f>
        <v>0</v>
      </c>
      <c r="L73" s="272">
        <f>D73/$D$59</f>
        <v>0</v>
      </c>
      <c r="M73" s="273">
        <f>IF(L73=0,0,H73/L73)</f>
        <v>0</v>
      </c>
      <c r="N73" s="291"/>
      <c r="O73" s="276"/>
    </row>
    <row r="74" spans="1:15" ht="13.5" customHeight="1" thickBot="1">
      <c r="A74" s="276"/>
      <c r="B74" s="277"/>
      <c r="C74" s="333"/>
      <c r="D74" s="334"/>
      <c r="E74" s="297"/>
      <c r="F74" s="292"/>
      <c r="G74" s="297"/>
      <c r="H74" s="298"/>
      <c r="I74" s="293"/>
      <c r="J74" s="299"/>
      <c r="K74" s="277"/>
      <c r="L74" s="277"/>
      <c r="M74" s="284"/>
      <c r="N74" s="262">
        <f>IF(L75=0,0,(H75-H73)/(L75-L73))</f>
        <v>0</v>
      </c>
      <c r="O74" s="262">
        <f>IF(L75-L73&lt;0,0,L75-L73)</f>
        <v>0</v>
      </c>
    </row>
    <row r="75" spans="1:15" ht="13.5" customHeight="1" thickBot="1">
      <c r="A75" s="262">
        <f>IF(C75=0,0,CONCATENATE(B75," ",$D$58))</f>
        <v>0</v>
      </c>
      <c r="B75" s="263">
        <f>B47</f>
        <v>8</v>
      </c>
      <c r="C75" s="327">
        <v>0</v>
      </c>
      <c r="D75" s="332">
        <v>0</v>
      </c>
      <c r="E75" s="286">
        <f>D75*C75</f>
        <v>0</v>
      </c>
      <c r="F75" s="287">
        <f>IF(C75=0,0,$F$61)</f>
        <v>0</v>
      </c>
      <c r="G75" s="286">
        <f>F75*D75</f>
        <v>0</v>
      </c>
      <c r="H75" s="288">
        <f>E75-G75</f>
        <v>0</v>
      </c>
      <c r="I75" s="289">
        <f>IF(C75=0,0,$I$61)</f>
        <v>0</v>
      </c>
      <c r="J75" s="290">
        <f>H75-I75</f>
        <v>0</v>
      </c>
      <c r="K75" s="300">
        <f>C75-F75</f>
        <v>0</v>
      </c>
      <c r="L75" s="272">
        <f>D75/$D$59</f>
        <v>0</v>
      </c>
      <c r="M75" s="273">
        <f>IF(L75=0,0,H75/L75)</f>
        <v>0</v>
      </c>
      <c r="N75" s="291"/>
      <c r="O75" s="276"/>
    </row>
    <row r="76" spans="1:14" ht="13.5" customHeight="1" thickBot="1">
      <c r="A76" s="276"/>
      <c r="B76" s="277"/>
      <c r="C76" s="333"/>
      <c r="D76" s="334"/>
      <c r="E76" s="297"/>
      <c r="F76" s="294"/>
      <c r="G76" s="297"/>
      <c r="H76" s="298"/>
      <c r="I76" s="301"/>
      <c r="J76" s="299"/>
      <c r="K76" s="277"/>
      <c r="L76" s="277"/>
      <c r="M76" s="284"/>
      <c r="N76" s="302"/>
    </row>
    <row r="77" spans="3:14" ht="12.75" hidden="1">
      <c r="C77" s="303"/>
      <c r="D77" s="304"/>
      <c r="E77" s="304"/>
      <c r="F77" s="303"/>
      <c r="G77" s="304"/>
      <c r="H77" s="304"/>
      <c r="I77" s="304"/>
      <c r="J77" s="304"/>
      <c r="K77" s="305"/>
      <c r="L77" s="302"/>
      <c r="M77" s="302"/>
      <c r="N77" s="306"/>
    </row>
    <row r="78" spans="3:14" ht="12.75" hidden="1">
      <c r="C78" s="303"/>
      <c r="D78" s="304"/>
      <c r="E78" s="304"/>
      <c r="F78" s="303"/>
      <c r="G78" s="304"/>
      <c r="H78" s="304"/>
      <c r="I78" s="304"/>
      <c r="J78" s="304"/>
      <c r="K78" s="306"/>
      <c r="L78" s="306"/>
      <c r="M78" s="302"/>
      <c r="N78" s="302"/>
    </row>
    <row r="79" spans="3:14" ht="12.75" hidden="1">
      <c r="C79" s="303"/>
      <c r="D79" s="304"/>
      <c r="E79" s="304"/>
      <c r="F79" s="303"/>
      <c r="G79" s="304"/>
      <c r="H79" s="304"/>
      <c r="I79" s="304"/>
      <c r="J79" s="304"/>
      <c r="K79" s="305"/>
      <c r="L79" s="302"/>
      <c r="M79" s="302"/>
      <c r="N79" s="306"/>
    </row>
    <row r="80" spans="3:13" ht="12.75" hidden="1">
      <c r="C80" s="303"/>
      <c r="D80" s="304"/>
      <c r="E80" s="304"/>
      <c r="F80" s="303"/>
      <c r="G80" s="304"/>
      <c r="H80" s="304"/>
      <c r="I80" s="304"/>
      <c r="J80" s="304"/>
      <c r="K80" s="306"/>
      <c r="L80" s="306"/>
      <c r="M80" s="302"/>
    </row>
    <row r="81" spans="3:10" ht="21">
      <c r="C81" s="249" t="s">
        <v>179</v>
      </c>
      <c r="D81" s="307">
        <f>MAX(J61:J80)</f>
        <v>0</v>
      </c>
      <c r="E81" s="249" t="s">
        <v>180</v>
      </c>
      <c r="F81" s="308"/>
      <c r="G81" s="309"/>
      <c r="H81" s="308"/>
      <c r="I81" s="308"/>
      <c r="J81" s="310"/>
    </row>
    <row r="82" spans="3:10" ht="21">
      <c r="C82" s="311" t="s">
        <v>181</v>
      </c>
      <c r="D82" s="309">
        <f>IF(D81=J61,C61,IF(D81=J63,C63,IF(D81=J65,C65,IF(D81=J67,C67,IF(D81=J69,C69,IF(D81=J71,C71,IF(D81=J73,C73,IF(D81=J75,C75,"ingen"))))))))</f>
        <v>0</v>
      </c>
      <c r="E82" s="309"/>
      <c r="F82" s="308"/>
      <c r="G82" s="309"/>
      <c r="H82" s="308"/>
      <c r="I82" s="308"/>
      <c r="J82" s="310"/>
    </row>
    <row r="83" spans="3:10" ht="21">
      <c r="C83" s="311" t="s">
        <v>182</v>
      </c>
      <c r="D83" s="309">
        <f>IF(D81=J61,D61,IF(D81=J63,D63,IF(D81=J65,D65,IF(D81=J67,D67,IF(D81=J69,D69,IF(D81=J71,D71,IF(D81=J73,D73,IF(D81=J75,D75,"ingen"))))))))</f>
        <v>0</v>
      </c>
      <c r="E83" s="309"/>
      <c r="F83" s="308"/>
      <c r="G83" s="309"/>
      <c r="H83" s="308"/>
      <c r="I83" s="308"/>
      <c r="J83" s="310"/>
    </row>
    <row r="84" spans="6:10" ht="21">
      <c r="F84" s="308"/>
      <c r="G84" s="309"/>
      <c r="H84" s="308"/>
      <c r="I84" s="308"/>
      <c r="J84" s="310"/>
    </row>
    <row r="85" spans="3:14" ht="18">
      <c r="C85" s="335" t="s">
        <v>185</v>
      </c>
      <c r="D85" s="335"/>
      <c r="E85" s="335"/>
      <c r="F85" s="335"/>
      <c r="G85" s="335"/>
      <c r="H85" s="335"/>
      <c r="I85" s="336"/>
      <c r="J85" s="336"/>
      <c r="K85" s="336"/>
      <c r="L85" s="336"/>
      <c r="M85" s="336"/>
      <c r="N85" s="336"/>
    </row>
    <row r="86" spans="3:14" ht="21">
      <c r="C86" s="311" t="s">
        <v>186</v>
      </c>
      <c r="D86" s="337">
        <v>16000</v>
      </c>
      <c r="E86" s="309" t="s">
        <v>187</v>
      </c>
      <c r="F86" s="338"/>
      <c r="G86" s="338"/>
      <c r="H86" s="338"/>
      <c r="I86" s="336"/>
      <c r="J86" s="336"/>
      <c r="K86" s="336"/>
      <c r="L86" s="336"/>
      <c r="M86" s="336"/>
      <c r="N86" s="338"/>
    </row>
    <row r="87" spans="3:14" ht="54">
      <c r="C87" s="338" t="s">
        <v>188</v>
      </c>
      <c r="D87" s="338" t="s">
        <v>189</v>
      </c>
      <c r="E87" s="338" t="s">
        <v>190</v>
      </c>
      <c r="F87" s="339" t="s">
        <v>191</v>
      </c>
      <c r="G87" s="339" t="s">
        <v>192</v>
      </c>
      <c r="H87" s="338" t="s">
        <v>193</v>
      </c>
      <c r="I87" s="336"/>
      <c r="J87" s="336"/>
      <c r="K87" s="336"/>
      <c r="L87" s="336"/>
      <c r="M87" s="336"/>
      <c r="N87" s="338"/>
    </row>
    <row r="88" spans="3:13" ht="12.75" customHeight="1">
      <c r="C88" s="340" t="s">
        <v>194</v>
      </c>
      <c r="D88" s="341">
        <f>'opg 1.2 løsningstabel'!F2</f>
        <v>1300</v>
      </c>
      <c r="E88" s="340" t="str">
        <f>'opg 1.2 løsningstabel'!G2</f>
        <v>1 DK</v>
      </c>
      <c r="F88" s="340">
        <f>'opg 1.2 løsningstabel'!H2</f>
        <v>1000</v>
      </c>
      <c r="G88" s="340">
        <f>F88</f>
        <v>1000</v>
      </c>
      <c r="H88" s="340" t="str">
        <f>IF(G88&lt;=$D$86,"Ja","Nej")</f>
        <v>Ja</v>
      </c>
      <c r="I88" s="336"/>
      <c r="J88" s="336"/>
      <c r="K88" s="336"/>
      <c r="L88" s="336"/>
      <c r="M88" s="336"/>
    </row>
    <row r="89" spans="3:13" ht="12.75" customHeight="1">
      <c r="C89" s="340"/>
      <c r="D89" s="341"/>
      <c r="E89" s="340"/>
      <c r="F89" s="340"/>
      <c r="G89" s="340"/>
      <c r="H89" s="340"/>
      <c r="I89" s="336"/>
      <c r="J89" s="336"/>
      <c r="K89" s="336"/>
      <c r="L89" s="336"/>
      <c r="M89" s="336"/>
    </row>
    <row r="90" spans="3:13" ht="12.75" customHeight="1">
      <c r="C90" s="340" t="s">
        <v>195</v>
      </c>
      <c r="D90" s="341">
        <f>'opg 1.2 løsningstabel'!F3</f>
        <v>1100</v>
      </c>
      <c r="E90" s="340" t="str">
        <f>'opg 1.2 løsningstabel'!G3</f>
        <v>2 DK</v>
      </c>
      <c r="F90" s="340">
        <f>'opg 1.2 løsningstabel'!H3</f>
        <v>1000</v>
      </c>
      <c r="G90" s="340">
        <f>G88+F90</f>
        <v>2000</v>
      </c>
      <c r="H90" s="340" t="str">
        <f>IF(G90&lt;=$D$86,"Ja","Nej")</f>
        <v>Ja</v>
      </c>
      <c r="I90" s="336"/>
      <c r="J90" s="336"/>
      <c r="K90" s="336"/>
      <c r="L90" s="336"/>
      <c r="M90" s="336"/>
    </row>
    <row r="91" spans="3:13" ht="12.75" customHeight="1">
      <c r="C91" s="340"/>
      <c r="D91" s="341"/>
      <c r="E91" s="340"/>
      <c r="F91" s="340"/>
      <c r="G91" s="340"/>
      <c r="H91" s="340"/>
      <c r="I91" s="336"/>
      <c r="J91" s="336"/>
      <c r="K91" s="336"/>
      <c r="L91" s="336"/>
      <c r="M91" s="336"/>
    </row>
    <row r="92" spans="3:13" ht="12.75" customHeight="1">
      <c r="C92" s="340" t="s">
        <v>196</v>
      </c>
      <c r="D92" s="341">
        <f>'opg 1.2 løsningstabel'!F4</f>
        <v>950</v>
      </c>
      <c r="E92" s="340" t="str">
        <f>'opg 1.2 løsningstabel'!G4</f>
        <v>1 Tysk</v>
      </c>
      <c r="F92" s="340">
        <f>'opg 1.2 løsningstabel'!H4</f>
        <v>1000</v>
      </c>
      <c r="G92" s="340">
        <f>G90+F92</f>
        <v>3000</v>
      </c>
      <c r="H92" s="340" t="str">
        <f>IF(G92&lt;=$D$86,"Ja","Nej")</f>
        <v>Ja</v>
      </c>
      <c r="I92" s="336"/>
      <c r="J92" s="336"/>
      <c r="K92" s="336"/>
      <c r="L92" s="336"/>
      <c r="M92" s="336"/>
    </row>
    <row r="93" spans="3:13" ht="12.75" customHeight="1">
      <c r="C93" s="340"/>
      <c r="D93" s="341"/>
      <c r="E93" s="340"/>
      <c r="F93" s="340"/>
      <c r="G93" s="340"/>
      <c r="H93" s="340"/>
      <c r="I93" s="336"/>
      <c r="J93" s="336"/>
      <c r="K93" s="336"/>
      <c r="L93" s="336"/>
      <c r="M93" s="336"/>
    </row>
    <row r="94" spans="3:13" ht="12.75" customHeight="1">
      <c r="C94" s="340" t="s">
        <v>197</v>
      </c>
      <c r="D94" s="341">
        <f>'opg 1.2 løsningstabel'!F5</f>
        <v>900</v>
      </c>
      <c r="E94" s="340" t="str">
        <f>'opg 1.2 løsningstabel'!G5</f>
        <v>3 DK</v>
      </c>
      <c r="F94" s="340">
        <f>'opg 1.2 løsningstabel'!H5</f>
        <v>1000</v>
      </c>
      <c r="G94" s="340">
        <f>G92+F94</f>
        <v>4000</v>
      </c>
      <c r="H94" s="340" t="str">
        <f>IF(G94&lt;=$D$86,"Ja","Nej")</f>
        <v>Ja</v>
      </c>
      <c r="I94" s="336"/>
      <c r="J94" s="336"/>
      <c r="K94" s="336"/>
      <c r="L94" s="336"/>
      <c r="M94" s="336"/>
    </row>
    <row r="95" spans="3:13" ht="12.75" customHeight="1">
      <c r="C95" s="340"/>
      <c r="D95" s="341"/>
      <c r="E95" s="340"/>
      <c r="F95" s="340"/>
      <c r="G95" s="340"/>
      <c r="H95" s="340"/>
      <c r="I95" s="336"/>
      <c r="J95" s="336"/>
      <c r="K95" s="336"/>
      <c r="L95" s="336"/>
      <c r="M95" s="336"/>
    </row>
    <row r="96" spans="3:13" ht="12.75" customHeight="1">
      <c r="C96" s="340" t="s">
        <v>198</v>
      </c>
      <c r="D96" s="341">
        <f>'opg 1.2 løsningstabel'!F6</f>
        <v>850</v>
      </c>
      <c r="E96" s="340" t="str">
        <f>'opg 1.2 løsningstabel'!G6</f>
        <v>2 Tysk</v>
      </c>
      <c r="F96" s="340">
        <f>'opg 1.2 løsningstabel'!H6</f>
        <v>1000</v>
      </c>
      <c r="G96" s="340">
        <f>G94+F96</f>
        <v>5000</v>
      </c>
      <c r="H96" s="340" t="str">
        <f>IF(G96&lt;=$D$86,"Ja","Nej")</f>
        <v>Ja</v>
      </c>
      <c r="I96" s="336"/>
      <c r="J96" s="336"/>
      <c r="K96" s="336"/>
      <c r="L96" s="336"/>
      <c r="M96" s="336"/>
    </row>
    <row r="97" spans="3:13" ht="12.75" customHeight="1">
      <c r="C97" s="340"/>
      <c r="D97" s="341"/>
      <c r="E97" s="340"/>
      <c r="F97" s="340"/>
      <c r="G97" s="340"/>
      <c r="H97" s="340"/>
      <c r="I97" s="336"/>
      <c r="J97" s="336"/>
      <c r="K97" s="336"/>
      <c r="L97" s="336"/>
      <c r="M97" s="336"/>
    </row>
    <row r="98" spans="3:13" ht="12.75" customHeight="1">
      <c r="C98" s="340" t="s">
        <v>199</v>
      </c>
      <c r="D98" s="341">
        <f>'opg 1.2 løsningstabel'!F7</f>
        <v>750</v>
      </c>
      <c r="E98" s="340" t="str">
        <f>'opg 1.2 løsningstabel'!G7</f>
        <v>3 Tysk</v>
      </c>
      <c r="F98" s="340">
        <f>'opg 1.2 løsningstabel'!H7</f>
        <v>1000</v>
      </c>
      <c r="G98" s="340">
        <f>G96+F98</f>
        <v>6000</v>
      </c>
      <c r="H98" s="340" t="str">
        <f>IF(G98&lt;=$D$86,"Ja","Nej")</f>
        <v>Ja</v>
      </c>
      <c r="I98" s="336"/>
      <c r="J98" s="336"/>
      <c r="K98" s="336"/>
      <c r="L98" s="336"/>
      <c r="M98" s="336"/>
    </row>
    <row r="99" spans="3:13" ht="12.75" customHeight="1">
      <c r="C99" s="340"/>
      <c r="D99" s="341"/>
      <c r="E99" s="340"/>
      <c r="F99" s="340"/>
      <c r="G99" s="340"/>
      <c r="H99" s="340"/>
      <c r="I99" s="336"/>
      <c r="J99" s="336"/>
      <c r="K99" s="336"/>
      <c r="L99" s="336"/>
      <c r="M99" s="336"/>
    </row>
    <row r="100" spans="3:13" ht="12.75" customHeight="1">
      <c r="C100" s="340" t="s">
        <v>200</v>
      </c>
      <c r="D100" s="341">
        <f>'opg 1.2 løsningstabel'!F8</f>
        <v>700</v>
      </c>
      <c r="E100" s="340" t="str">
        <f>'opg 1.2 løsningstabel'!G8</f>
        <v>4 DK</v>
      </c>
      <c r="F100" s="340">
        <f>'opg 1.2 løsningstabel'!H8</f>
        <v>1000</v>
      </c>
      <c r="G100" s="340">
        <f>G98+F100</f>
        <v>7000</v>
      </c>
      <c r="H100" s="340" t="str">
        <f>IF(G100&lt;=$D$86,"Ja","Nej")</f>
        <v>Ja</v>
      </c>
      <c r="I100" s="336"/>
      <c r="J100" s="336"/>
      <c r="K100" s="336"/>
      <c r="L100" s="336"/>
      <c r="M100" s="336"/>
    </row>
    <row r="101" spans="3:13" ht="12.75" customHeight="1">
      <c r="C101" s="340"/>
      <c r="D101" s="341"/>
      <c r="E101" s="340"/>
      <c r="F101" s="340"/>
      <c r="G101" s="340"/>
      <c r="H101" s="340"/>
      <c r="I101" s="336"/>
      <c r="J101" s="336"/>
      <c r="K101" s="336"/>
      <c r="L101" s="336"/>
      <c r="M101" s="336"/>
    </row>
    <row r="102" spans="3:13" ht="12.75" customHeight="1">
      <c r="C102" s="340" t="s">
        <v>201</v>
      </c>
      <c r="D102" s="341">
        <f>'opg 1.2 løsningstabel'!F9</f>
        <v>650</v>
      </c>
      <c r="E102" s="340" t="str">
        <f>'opg 1.2 løsningstabel'!G9</f>
        <v>4 Tysk</v>
      </c>
      <c r="F102" s="340">
        <f>'opg 1.2 løsningstabel'!H9</f>
        <v>1000</v>
      </c>
      <c r="G102" s="340">
        <f>G100+F102</f>
        <v>8000</v>
      </c>
      <c r="H102" s="340" t="str">
        <f>IF(G102&lt;=$D$86,"Ja","Nej")</f>
        <v>Ja</v>
      </c>
      <c r="I102" s="336"/>
      <c r="J102" s="336"/>
      <c r="K102" s="336"/>
      <c r="L102" s="336"/>
      <c r="M102" s="336"/>
    </row>
    <row r="103" spans="3:13" ht="12.75" customHeight="1">
      <c r="C103" s="340"/>
      <c r="D103" s="341"/>
      <c r="E103" s="340"/>
      <c r="F103" s="340"/>
      <c r="G103" s="340"/>
      <c r="H103" s="340"/>
      <c r="I103" s="336"/>
      <c r="J103" s="336"/>
      <c r="K103" s="336"/>
      <c r="L103" s="336"/>
      <c r="M103" s="336"/>
    </row>
    <row r="104" spans="3:13" ht="12.75" customHeight="1">
      <c r="C104" s="340" t="s">
        <v>202</v>
      </c>
      <c r="D104" s="341">
        <f>'opg 1.2 løsningstabel'!F10</f>
        <v>550</v>
      </c>
      <c r="E104" s="340" t="str">
        <f>'opg 1.2 løsningstabel'!G10</f>
        <v>5 Tysk</v>
      </c>
      <c r="F104" s="340">
        <f>'opg 1.2 løsningstabel'!H10</f>
        <v>1000</v>
      </c>
      <c r="G104" s="340">
        <f>G102+F104</f>
        <v>9000</v>
      </c>
      <c r="H104" s="340" t="str">
        <f>IF(G104&lt;=$D$86,"Ja","Nej")</f>
        <v>Ja</v>
      </c>
      <c r="I104" s="336"/>
      <c r="J104" s="336"/>
      <c r="K104" s="336"/>
      <c r="L104" s="336"/>
      <c r="M104" s="336"/>
    </row>
    <row r="105" spans="3:13" ht="12.75" customHeight="1">
      <c r="C105" s="340"/>
      <c r="D105" s="341"/>
      <c r="E105" s="340"/>
      <c r="F105" s="340"/>
      <c r="G105" s="340"/>
      <c r="H105" s="340"/>
      <c r="I105" s="336"/>
      <c r="J105" s="336"/>
      <c r="K105" s="336"/>
      <c r="L105" s="336"/>
      <c r="M105" s="336"/>
    </row>
    <row r="106" spans="3:13" ht="12.75" customHeight="1">
      <c r="C106" s="340" t="s">
        <v>203</v>
      </c>
      <c r="D106" s="341">
        <f>'opg 1.2 løsningstabel'!F11</f>
        <v>500</v>
      </c>
      <c r="E106" s="340" t="str">
        <f>'opg 1.2 løsningstabel'!G11</f>
        <v>5 DK</v>
      </c>
      <c r="F106" s="340">
        <f>'opg 1.2 løsningstabel'!H11</f>
        <v>1000</v>
      </c>
      <c r="G106" s="340">
        <f>G104+F106</f>
        <v>10000</v>
      </c>
      <c r="H106" s="340" t="str">
        <f>IF(G106&lt;=$D$86,"Ja","Nej")</f>
        <v>Ja</v>
      </c>
      <c r="I106" s="336"/>
      <c r="J106" s="336"/>
      <c r="K106" s="336"/>
      <c r="L106" s="336"/>
      <c r="M106" s="336"/>
    </row>
    <row r="107" spans="3:13" ht="12.75" customHeight="1">
      <c r="C107" s="340"/>
      <c r="D107" s="341"/>
      <c r="E107" s="340"/>
      <c r="F107" s="340"/>
      <c r="G107" s="340"/>
      <c r="H107" s="340"/>
      <c r="I107" s="336"/>
      <c r="J107" s="336"/>
      <c r="K107" s="336"/>
      <c r="L107" s="336"/>
      <c r="M107" s="336"/>
    </row>
    <row r="108" spans="3:13" ht="12.75" customHeight="1">
      <c r="C108" s="340" t="s">
        <v>204</v>
      </c>
      <c r="D108" s="341">
        <f>'opg 1.2 løsningstabel'!F12</f>
        <v>450</v>
      </c>
      <c r="E108" s="340" t="str">
        <f>'opg 1.2 løsningstabel'!G12</f>
        <v>6 Tysk</v>
      </c>
      <c r="F108" s="340">
        <f>'opg 1.2 løsningstabel'!H12</f>
        <v>1000</v>
      </c>
      <c r="G108" s="340">
        <f>G106+F108</f>
        <v>11000</v>
      </c>
      <c r="H108" s="340" t="str">
        <f>IF(G108&lt;=$D$86,"Ja","Nej")</f>
        <v>Ja</v>
      </c>
      <c r="I108" s="336"/>
      <c r="J108" s="336"/>
      <c r="K108" s="336"/>
      <c r="L108" s="336"/>
      <c r="M108" s="336"/>
    </row>
    <row r="109" spans="3:13" ht="12.75" customHeight="1">
      <c r="C109" s="340"/>
      <c r="D109" s="341"/>
      <c r="E109" s="340"/>
      <c r="F109" s="340"/>
      <c r="G109" s="340"/>
      <c r="H109" s="340"/>
      <c r="I109" s="336"/>
      <c r="J109" s="336"/>
      <c r="K109" s="336"/>
      <c r="L109" s="336"/>
      <c r="M109" s="336"/>
    </row>
    <row r="110" spans="3:13" ht="12.75" customHeight="1">
      <c r="C110" s="340" t="s">
        <v>205</v>
      </c>
      <c r="D110" s="341">
        <f>'opg 1.2 løsningstabel'!F13</f>
        <v>350</v>
      </c>
      <c r="E110" s="375" t="s">
        <v>214</v>
      </c>
      <c r="F110" s="375" t="s">
        <v>214</v>
      </c>
      <c r="G110" s="375" t="s">
        <v>214</v>
      </c>
      <c r="H110" s="375" t="s">
        <v>215</v>
      </c>
      <c r="I110" s="336"/>
      <c r="J110" s="336"/>
      <c r="K110" s="336"/>
      <c r="L110" s="336"/>
      <c r="M110" s="336"/>
    </row>
    <row r="111" spans="3:13" ht="12.75" customHeight="1">
      <c r="C111" s="340"/>
      <c r="D111" s="341"/>
      <c r="E111" s="340"/>
      <c r="F111" s="340"/>
      <c r="G111" s="340"/>
      <c r="H111" s="340"/>
      <c r="I111" s="336"/>
      <c r="J111" s="336"/>
      <c r="K111" s="336"/>
      <c r="L111" s="336"/>
      <c r="M111" s="336"/>
    </row>
    <row r="112" spans="3:13" ht="12.75" customHeight="1">
      <c r="C112" s="342"/>
      <c r="D112" s="343"/>
      <c r="E112" s="342"/>
      <c r="F112" s="342"/>
      <c r="G112" s="342"/>
      <c r="H112" s="342"/>
      <c r="I112" s="336"/>
      <c r="J112" s="336"/>
      <c r="K112" s="336"/>
      <c r="L112" s="336"/>
      <c r="M112" s="336"/>
    </row>
    <row r="113" spans="1:13" ht="18">
      <c r="A113" s="335" t="s">
        <v>206</v>
      </c>
      <c r="B113" s="335"/>
      <c r="C113" s="335"/>
      <c r="D113" s="335"/>
      <c r="E113" s="335"/>
      <c r="F113" s="335"/>
      <c r="G113" s="335"/>
      <c r="H113" s="335"/>
      <c r="I113" s="336"/>
      <c r="J113" s="336"/>
      <c r="K113" s="336"/>
      <c r="L113" s="336"/>
      <c r="M113" s="336"/>
    </row>
    <row r="114" spans="1:13" ht="12.75" customHeight="1">
      <c r="A114" s="340" t="s">
        <v>207</v>
      </c>
      <c r="B114" s="340"/>
      <c r="C114" s="342" t="s">
        <v>167</v>
      </c>
      <c r="D114" s="342" t="s">
        <v>168</v>
      </c>
      <c r="E114" s="342" t="s">
        <v>28</v>
      </c>
      <c r="F114" s="342" t="s">
        <v>169</v>
      </c>
      <c r="G114" s="342" t="s">
        <v>170</v>
      </c>
      <c r="H114" s="342" t="s">
        <v>171</v>
      </c>
      <c r="I114" s="344" t="s">
        <v>208</v>
      </c>
      <c r="J114" s="344" t="s">
        <v>173</v>
      </c>
      <c r="K114" s="336"/>
      <c r="L114" s="336"/>
      <c r="M114" s="336"/>
    </row>
    <row r="115" spans="1:13" ht="12.75" customHeight="1">
      <c r="A115" s="340" t="str">
        <f>D2</f>
        <v>DK</v>
      </c>
      <c r="B115" s="340"/>
      <c r="C115" s="87">
        <f>C13</f>
        <v>1700</v>
      </c>
      <c r="D115" s="87">
        <f aca="true" t="shared" si="0" ref="D115:J115">D13</f>
        <v>5000</v>
      </c>
      <c r="E115" s="87">
        <f t="shared" si="0"/>
        <v>8500000</v>
      </c>
      <c r="F115" s="87">
        <f t="shared" si="0"/>
        <v>800</v>
      </c>
      <c r="G115" s="87">
        <f t="shared" si="0"/>
        <v>4000000</v>
      </c>
      <c r="H115" s="87">
        <f t="shared" si="0"/>
        <v>4500000</v>
      </c>
      <c r="I115" s="87">
        <f t="shared" si="0"/>
        <v>0</v>
      </c>
      <c r="J115" s="87">
        <f t="shared" si="0"/>
        <v>4500000</v>
      </c>
      <c r="K115" s="336"/>
      <c r="L115" s="336"/>
      <c r="M115" s="336"/>
    </row>
    <row r="116" spans="1:13" ht="12.75" customHeight="1">
      <c r="A116" s="340" t="str">
        <f>D30</f>
        <v>Tysk</v>
      </c>
      <c r="B116" s="340"/>
      <c r="C116" s="87">
        <f>C43</f>
        <v>1900</v>
      </c>
      <c r="D116" s="87">
        <f aca="true" t="shared" si="1" ref="D116:J116">D43</f>
        <v>6000</v>
      </c>
      <c r="E116" s="87">
        <f t="shared" si="1"/>
        <v>11400000</v>
      </c>
      <c r="F116" s="87">
        <f t="shared" si="1"/>
        <v>1200</v>
      </c>
      <c r="G116" s="87">
        <f t="shared" si="1"/>
        <v>7200000</v>
      </c>
      <c r="H116" s="87">
        <f t="shared" si="1"/>
        <v>4200000</v>
      </c>
      <c r="I116" s="87">
        <f t="shared" si="1"/>
        <v>0</v>
      </c>
      <c r="J116" s="87">
        <f t="shared" si="1"/>
        <v>4200000</v>
      </c>
      <c r="K116" s="336"/>
      <c r="L116" s="336"/>
      <c r="M116" s="336"/>
    </row>
    <row r="117" spans="1:13" ht="12.75" customHeight="1">
      <c r="A117" s="345" t="s">
        <v>209</v>
      </c>
      <c r="B117" s="345"/>
      <c r="C117" s="345"/>
      <c r="D117" s="346"/>
      <c r="E117" s="346"/>
      <c r="F117" s="346"/>
      <c r="G117" s="346"/>
      <c r="H117" s="346"/>
      <c r="I117" s="346"/>
      <c r="J117" s="346">
        <v>4800000</v>
      </c>
      <c r="K117" s="336"/>
      <c r="L117" s="336"/>
      <c r="M117" s="336"/>
    </row>
    <row r="118" spans="1:13" ht="12.75" customHeight="1">
      <c r="A118" s="376" t="s">
        <v>216</v>
      </c>
      <c r="B118" s="376"/>
      <c r="C118" s="376"/>
      <c r="D118" s="376"/>
      <c r="E118" s="346">
        <v>3000</v>
      </c>
      <c r="F118" s="346">
        <v>400</v>
      </c>
      <c r="G118" s="346"/>
      <c r="H118" s="346"/>
      <c r="I118" s="346"/>
      <c r="J118" s="346">
        <f>E118*F118</f>
        <v>1200000</v>
      </c>
      <c r="K118" s="336"/>
      <c r="L118" s="336"/>
      <c r="M118" s="336"/>
    </row>
    <row r="119" spans="1:13" ht="12.75" customHeight="1">
      <c r="A119" s="249" t="s">
        <v>210</v>
      </c>
      <c r="C119" s="347"/>
      <c r="D119" s="347"/>
      <c r="E119" s="347"/>
      <c r="F119" s="347"/>
      <c r="G119" s="347">
        <f>SUM(G115:G117)</f>
        <v>11200000</v>
      </c>
      <c r="H119" s="347">
        <f>SUM(H115:H117)</f>
        <v>8700000</v>
      </c>
      <c r="I119" s="347"/>
      <c r="J119" s="347">
        <f>J115+J116-J117-J118</f>
        <v>2700000</v>
      </c>
      <c r="K119" s="336"/>
      <c r="L119" s="336"/>
      <c r="M119" s="336"/>
    </row>
    <row r="120" spans="3:13" ht="12.75" customHeight="1">
      <c r="C120" s="342"/>
      <c r="D120" s="342"/>
      <c r="E120" s="342"/>
      <c r="F120" s="342"/>
      <c r="G120" s="342"/>
      <c r="H120" s="342"/>
      <c r="I120" s="348"/>
      <c r="J120" s="336"/>
      <c r="K120" s="336"/>
      <c r="L120" s="336"/>
      <c r="M120" s="336"/>
    </row>
    <row r="121" spans="3:13" ht="12.75" customHeight="1">
      <c r="C121" s="342"/>
      <c r="D121" s="342"/>
      <c r="E121" s="342"/>
      <c r="F121" s="342"/>
      <c r="G121" s="342"/>
      <c r="H121" s="342"/>
      <c r="I121" s="336"/>
      <c r="J121" s="336"/>
      <c r="K121" s="336"/>
      <c r="L121" s="336"/>
      <c r="M121" s="336"/>
    </row>
    <row r="122" spans="3:13" ht="12.75" customHeight="1">
      <c r="C122" s="342"/>
      <c r="D122" s="342"/>
      <c r="E122" s="342"/>
      <c r="F122" s="342"/>
      <c r="G122" s="342"/>
      <c r="H122" s="342"/>
      <c r="I122" s="336"/>
      <c r="J122" s="336"/>
      <c r="K122" s="336"/>
      <c r="L122" s="336"/>
      <c r="M122" s="336"/>
    </row>
    <row r="123" spans="3:13" ht="12.75" customHeight="1">
      <c r="C123" s="342"/>
      <c r="D123" s="342"/>
      <c r="E123" s="342"/>
      <c r="F123" s="342"/>
      <c r="G123" s="342"/>
      <c r="H123" s="342"/>
      <c r="I123" s="336"/>
      <c r="J123" s="336"/>
      <c r="K123" s="336"/>
      <c r="L123" s="336"/>
      <c r="M123" s="336"/>
    </row>
    <row r="124" spans="3:13" ht="12.75" customHeight="1">
      <c r="C124" s="342"/>
      <c r="D124" s="342"/>
      <c r="E124" s="342"/>
      <c r="F124" s="342"/>
      <c r="G124" s="342"/>
      <c r="H124" s="342"/>
      <c r="I124" s="336"/>
      <c r="J124" s="336"/>
      <c r="K124" s="336"/>
      <c r="L124" s="336"/>
      <c r="M124" s="336"/>
    </row>
    <row r="125" spans="3:13" ht="12.75" customHeight="1">
      <c r="C125" s="342"/>
      <c r="D125" s="342"/>
      <c r="E125" s="342"/>
      <c r="F125" s="342"/>
      <c r="G125" s="342"/>
      <c r="H125" s="342"/>
      <c r="I125" s="336"/>
      <c r="J125" s="336"/>
      <c r="K125" s="336"/>
      <c r="L125" s="336"/>
      <c r="M125" s="336"/>
    </row>
    <row r="126" spans="3:13" ht="12.75" customHeight="1">
      <c r="C126" s="342"/>
      <c r="D126" s="342"/>
      <c r="E126" s="342"/>
      <c r="F126" s="342"/>
      <c r="G126" s="342"/>
      <c r="H126" s="342"/>
      <c r="I126" s="336"/>
      <c r="J126" s="336"/>
      <c r="K126" s="336"/>
      <c r="L126" s="336"/>
      <c r="M126" s="336"/>
    </row>
    <row r="127" spans="3:13" ht="12.75" customHeight="1">
      <c r="C127" s="342"/>
      <c r="D127" s="343"/>
      <c r="E127" s="342"/>
      <c r="F127" s="342"/>
      <c r="G127" s="342"/>
      <c r="H127" s="342"/>
      <c r="I127" s="336"/>
      <c r="J127" s="336"/>
      <c r="K127" s="336"/>
      <c r="L127" s="336"/>
      <c r="M127" s="336"/>
    </row>
    <row r="128" spans="3:13" ht="12.75" customHeight="1">
      <c r="C128" s="342"/>
      <c r="I128" s="336"/>
      <c r="J128" s="336"/>
      <c r="K128" s="336"/>
      <c r="L128" s="336"/>
      <c r="M128" s="336"/>
    </row>
    <row r="129" spans="3:13" ht="12.75" customHeight="1">
      <c r="C129" s="342"/>
      <c r="I129" s="336"/>
      <c r="J129" s="336"/>
      <c r="K129" s="336"/>
      <c r="L129" s="336"/>
      <c r="M129" s="336"/>
    </row>
    <row r="130" spans="3:13" ht="12.75" customHeight="1">
      <c r="C130" s="342"/>
      <c r="I130" s="336"/>
      <c r="J130" s="336"/>
      <c r="K130" s="336"/>
      <c r="L130" s="336"/>
      <c r="M130" s="336"/>
    </row>
    <row r="131" spans="3:13" ht="12.75" customHeight="1">
      <c r="C131" s="342"/>
      <c r="I131" s="336"/>
      <c r="J131" s="336"/>
      <c r="K131" s="336"/>
      <c r="L131" s="336"/>
      <c r="M131" s="336"/>
    </row>
    <row r="132" spans="3:13" ht="12.75" customHeight="1">
      <c r="C132" s="342"/>
      <c r="I132" s="336"/>
      <c r="J132" s="336"/>
      <c r="K132" s="336"/>
      <c r="L132" s="336"/>
      <c r="M132" s="336"/>
    </row>
    <row r="133" spans="3:13" ht="12.75" customHeight="1">
      <c r="C133" s="342"/>
      <c r="I133" s="336"/>
      <c r="J133" s="336"/>
      <c r="K133" s="336"/>
      <c r="L133" s="336"/>
      <c r="M133" s="336"/>
    </row>
    <row r="134" spans="3:13" ht="12.75" customHeight="1">
      <c r="C134" s="342"/>
      <c r="I134" s="336"/>
      <c r="J134" s="336"/>
      <c r="K134" s="336"/>
      <c r="L134" s="336"/>
      <c r="M134" s="336"/>
    </row>
    <row r="135" spans="3:13" ht="12.75" customHeight="1">
      <c r="C135" s="342"/>
      <c r="I135" s="336"/>
      <c r="J135" s="336"/>
      <c r="K135" s="336"/>
      <c r="L135" s="336"/>
      <c r="M135" s="336"/>
    </row>
    <row r="136" spans="3:13" ht="12.75" customHeight="1">
      <c r="C136" s="342"/>
      <c r="I136" s="336"/>
      <c r="J136" s="336"/>
      <c r="K136" s="336"/>
      <c r="L136" s="336"/>
      <c r="M136" s="336"/>
    </row>
    <row r="137" spans="3:13" ht="12.75" customHeight="1">
      <c r="C137" s="342"/>
      <c r="I137" s="336"/>
      <c r="J137" s="336"/>
      <c r="K137" s="336"/>
      <c r="L137" s="336"/>
      <c r="M137" s="336"/>
    </row>
    <row r="138" spans="9:13" ht="12.75" customHeight="1">
      <c r="I138" s="336"/>
      <c r="J138" s="336"/>
      <c r="K138" s="336"/>
      <c r="L138" s="336"/>
      <c r="M138" s="336"/>
    </row>
    <row r="139" spans="9:13" ht="12.75" customHeight="1">
      <c r="I139" s="336"/>
      <c r="J139" s="336"/>
      <c r="K139" s="336"/>
      <c r="L139" s="336"/>
      <c r="M139" s="336"/>
    </row>
    <row r="140" spans="9:13" ht="12.75" customHeight="1">
      <c r="I140" s="336"/>
      <c r="J140" s="336"/>
      <c r="K140" s="336"/>
      <c r="L140" s="336"/>
      <c r="M140" s="336"/>
    </row>
    <row r="141" spans="9:13" ht="12.75" customHeight="1">
      <c r="I141" s="336"/>
      <c r="J141" s="336"/>
      <c r="K141" s="336"/>
      <c r="L141" s="336"/>
      <c r="M141" s="336"/>
    </row>
    <row r="142" spans="9:13" ht="12.75" customHeight="1">
      <c r="I142" s="336"/>
      <c r="J142" s="336"/>
      <c r="K142" s="336"/>
      <c r="L142" s="336"/>
      <c r="M142" s="336"/>
    </row>
    <row r="143" spans="9:13" ht="12.75" customHeight="1">
      <c r="I143" s="336"/>
      <c r="J143" s="336"/>
      <c r="K143" s="336"/>
      <c r="L143" s="336"/>
      <c r="M143" s="336"/>
    </row>
    <row r="144" spans="9:13" ht="12.75" customHeight="1">
      <c r="I144" s="336"/>
      <c r="J144" s="336"/>
      <c r="K144" s="336"/>
      <c r="L144" s="336"/>
      <c r="M144" s="336"/>
    </row>
    <row r="145" spans="9:13" ht="12.75" customHeight="1">
      <c r="I145" s="336"/>
      <c r="J145" s="336"/>
      <c r="K145" s="336"/>
      <c r="L145" s="336"/>
      <c r="M145" s="336"/>
    </row>
    <row r="146" spans="9:13" ht="12.75" customHeight="1">
      <c r="I146" s="336"/>
      <c r="J146" s="336"/>
      <c r="K146" s="336"/>
      <c r="L146" s="336"/>
      <c r="M146" s="336"/>
    </row>
    <row r="147" spans="9:13" ht="12.75" customHeight="1">
      <c r="I147" s="336"/>
      <c r="J147" s="336"/>
      <c r="K147" s="336"/>
      <c r="L147" s="336"/>
      <c r="M147" s="336"/>
    </row>
    <row r="148" spans="9:13" ht="12.75" customHeight="1">
      <c r="I148" s="336"/>
      <c r="J148" s="336"/>
      <c r="K148" s="336"/>
      <c r="L148" s="336"/>
      <c r="M148" s="336"/>
    </row>
    <row r="149" spans="9:13" ht="12.75" customHeight="1">
      <c r="I149" s="336"/>
      <c r="J149" s="336"/>
      <c r="K149" s="336"/>
      <c r="L149" s="336"/>
      <c r="M149" s="336"/>
    </row>
    <row r="150" spans="9:13" ht="12.75" customHeight="1">
      <c r="I150" s="336"/>
      <c r="J150" s="336"/>
      <c r="K150" s="336"/>
      <c r="L150" s="336"/>
      <c r="M150" s="336"/>
    </row>
    <row r="151" spans="9:13" ht="12.75" customHeight="1">
      <c r="I151" s="336"/>
      <c r="J151" s="336"/>
      <c r="K151" s="336"/>
      <c r="L151" s="336"/>
      <c r="M151" s="336"/>
    </row>
    <row r="152" spans="9:13" ht="12.75" customHeight="1">
      <c r="I152" s="336"/>
      <c r="J152" s="336"/>
      <c r="K152" s="336"/>
      <c r="L152" s="336"/>
      <c r="M152" s="336"/>
    </row>
    <row r="153" spans="9:13" ht="12.75" customHeight="1">
      <c r="I153" s="336"/>
      <c r="J153" s="336"/>
      <c r="K153" s="336"/>
      <c r="L153" s="336"/>
      <c r="M153" s="336"/>
    </row>
    <row r="154" spans="9:13" ht="12.75" customHeight="1">
      <c r="I154" s="336"/>
      <c r="J154" s="336"/>
      <c r="K154" s="336"/>
      <c r="L154" s="336"/>
      <c r="M154" s="336"/>
    </row>
    <row r="155" spans="9:13" ht="12.75" customHeight="1">
      <c r="I155" s="336"/>
      <c r="J155" s="336"/>
      <c r="K155" s="336"/>
      <c r="L155" s="336"/>
      <c r="M155" s="336"/>
    </row>
    <row r="156" spans="9:13" ht="12.75" customHeight="1">
      <c r="I156" s="336"/>
      <c r="J156" s="336"/>
      <c r="K156" s="336"/>
      <c r="L156" s="336"/>
      <c r="M156" s="336"/>
    </row>
    <row r="157" spans="9:13" ht="12.75" customHeight="1">
      <c r="I157" s="336"/>
      <c r="J157" s="336"/>
      <c r="K157" s="336"/>
      <c r="L157" s="336"/>
      <c r="M157" s="336"/>
    </row>
    <row r="158" spans="9:13" ht="12.75" customHeight="1">
      <c r="I158" s="336"/>
      <c r="J158" s="336"/>
      <c r="K158" s="336"/>
      <c r="L158" s="336"/>
      <c r="M158" s="336"/>
    </row>
    <row r="159" spans="9:13" ht="12.75" customHeight="1">
      <c r="I159" s="336"/>
      <c r="J159" s="336"/>
      <c r="K159" s="336"/>
      <c r="L159" s="336"/>
      <c r="M159" s="336"/>
    </row>
    <row r="160" spans="9:13" ht="12.75" customHeight="1">
      <c r="I160" s="336"/>
      <c r="J160" s="336"/>
      <c r="K160" s="336"/>
      <c r="L160" s="336"/>
      <c r="M160" s="336"/>
    </row>
    <row r="161" spans="9:13" ht="12.75" customHeight="1">
      <c r="I161" s="336"/>
      <c r="J161" s="336"/>
      <c r="K161" s="336"/>
      <c r="L161" s="336"/>
      <c r="M161" s="336"/>
    </row>
    <row r="162" spans="9:13" ht="12.75" customHeight="1">
      <c r="I162" s="336"/>
      <c r="J162" s="336"/>
      <c r="K162" s="336"/>
      <c r="L162" s="336"/>
      <c r="M162" s="336"/>
    </row>
    <row r="163" spans="9:13" ht="12.75" customHeight="1">
      <c r="I163" s="336"/>
      <c r="J163" s="336"/>
      <c r="K163" s="336"/>
      <c r="L163" s="336"/>
      <c r="M163" s="336"/>
    </row>
    <row r="164" spans="9:13" ht="12.75" customHeight="1">
      <c r="I164" s="336"/>
      <c r="J164" s="336"/>
      <c r="K164" s="336"/>
      <c r="L164" s="336"/>
      <c r="M164" s="336"/>
    </row>
    <row r="165" spans="9:13" ht="12.75" customHeight="1">
      <c r="I165" s="336"/>
      <c r="J165" s="336"/>
      <c r="K165" s="336"/>
      <c r="L165" s="336"/>
      <c r="M165" s="336"/>
    </row>
    <row r="166" spans="9:13" ht="12.75" customHeight="1">
      <c r="I166" s="336"/>
      <c r="J166" s="336"/>
      <c r="K166" s="336"/>
      <c r="L166" s="336"/>
      <c r="M166" s="336"/>
    </row>
    <row r="167" spans="9:13" ht="12.75" customHeight="1">
      <c r="I167" s="336"/>
      <c r="J167" s="336"/>
      <c r="K167" s="336"/>
      <c r="L167" s="336"/>
      <c r="M167" s="336"/>
    </row>
    <row r="168" spans="9:13" ht="12.75" customHeight="1">
      <c r="I168" s="336"/>
      <c r="J168" s="336"/>
      <c r="K168" s="336"/>
      <c r="L168" s="336"/>
      <c r="M168" s="336"/>
    </row>
    <row r="169" spans="9:13" ht="12.75" customHeight="1">
      <c r="I169" s="336"/>
      <c r="J169" s="336"/>
      <c r="K169" s="336"/>
      <c r="L169" s="336"/>
      <c r="M169" s="336"/>
    </row>
    <row r="170" spans="9:13" ht="12.75" customHeight="1">
      <c r="I170" s="336"/>
      <c r="J170" s="336"/>
      <c r="K170" s="336"/>
      <c r="L170" s="336"/>
      <c r="M170" s="336"/>
    </row>
    <row r="171" spans="9:13" ht="12.75" customHeight="1">
      <c r="I171" s="336"/>
      <c r="J171" s="336"/>
      <c r="K171" s="336"/>
      <c r="L171" s="336"/>
      <c r="M171" s="336"/>
    </row>
    <row r="172" spans="9:13" ht="12.75" customHeight="1">
      <c r="I172" s="336"/>
      <c r="J172" s="336"/>
      <c r="K172" s="336"/>
      <c r="L172" s="336"/>
      <c r="M172" s="336"/>
    </row>
    <row r="173" spans="9:13" ht="12.75" customHeight="1">
      <c r="I173" s="336"/>
      <c r="J173" s="336"/>
      <c r="K173" s="336"/>
      <c r="L173" s="336"/>
      <c r="M173" s="336"/>
    </row>
    <row r="174" spans="9:13" ht="12.75" customHeight="1">
      <c r="I174" s="336"/>
      <c r="J174" s="336"/>
      <c r="K174" s="336"/>
      <c r="L174" s="336"/>
      <c r="M174" s="336"/>
    </row>
    <row r="175" spans="9:13" ht="12.75" customHeight="1">
      <c r="I175" s="336"/>
      <c r="J175" s="336"/>
      <c r="K175" s="336"/>
      <c r="L175" s="336"/>
      <c r="M175" s="336"/>
    </row>
    <row r="176" spans="9:13" ht="12.75" customHeight="1">
      <c r="I176" s="336"/>
      <c r="J176" s="336"/>
      <c r="K176" s="336"/>
      <c r="L176" s="336"/>
      <c r="M176" s="336"/>
    </row>
    <row r="177" spans="9:13" ht="12.75" customHeight="1">
      <c r="I177" s="336"/>
      <c r="J177" s="336"/>
      <c r="K177" s="336"/>
      <c r="L177" s="336"/>
      <c r="M177" s="336"/>
    </row>
    <row r="178" spans="9:13" ht="12.75" customHeight="1">
      <c r="I178" s="336"/>
      <c r="J178" s="336"/>
      <c r="K178" s="336"/>
      <c r="L178" s="336"/>
      <c r="M178" s="336"/>
    </row>
    <row r="179" spans="9:13" ht="12.75" customHeight="1">
      <c r="I179" s="336"/>
      <c r="J179" s="336"/>
      <c r="K179" s="336"/>
      <c r="L179" s="336"/>
      <c r="M179" s="336"/>
    </row>
    <row r="180" spans="9:13" ht="12.75" customHeight="1">
      <c r="I180" s="336"/>
      <c r="J180" s="336"/>
      <c r="K180" s="336"/>
      <c r="L180" s="336"/>
      <c r="M180" s="336"/>
    </row>
    <row r="181" spans="9:13" ht="12.75" customHeight="1">
      <c r="I181" s="336"/>
      <c r="J181" s="336"/>
      <c r="K181" s="336"/>
      <c r="L181" s="336"/>
      <c r="M181" s="336"/>
    </row>
    <row r="182" spans="9:13" ht="12.75" customHeight="1">
      <c r="I182" s="336"/>
      <c r="J182" s="336"/>
      <c r="K182" s="336"/>
      <c r="L182" s="336"/>
      <c r="M182" s="336"/>
    </row>
    <row r="183" spans="9:13" ht="12.75" customHeight="1">
      <c r="I183" s="336"/>
      <c r="J183" s="336"/>
      <c r="K183" s="336"/>
      <c r="L183" s="336"/>
      <c r="M183" s="336"/>
    </row>
    <row r="184" spans="9:13" ht="12.75" customHeight="1">
      <c r="I184" s="336"/>
      <c r="J184" s="336"/>
      <c r="K184" s="336"/>
      <c r="L184" s="336"/>
      <c r="M184" s="336"/>
    </row>
    <row r="185" spans="9:13" ht="12.75" customHeight="1">
      <c r="I185" s="336"/>
      <c r="J185" s="336"/>
      <c r="K185" s="336"/>
      <c r="L185" s="336"/>
      <c r="M185" s="336"/>
    </row>
    <row r="186" spans="9:13" ht="12.75" customHeight="1">
      <c r="I186" s="336"/>
      <c r="J186" s="336"/>
      <c r="K186" s="336"/>
      <c r="L186" s="336"/>
      <c r="M186" s="336"/>
    </row>
    <row r="187" spans="9:13" ht="12.75" customHeight="1">
      <c r="I187" s="336"/>
      <c r="J187" s="336"/>
      <c r="K187" s="336"/>
      <c r="L187" s="336"/>
      <c r="M187" s="336"/>
    </row>
    <row r="188" spans="9:13" ht="12.75" customHeight="1">
      <c r="I188" s="336"/>
      <c r="J188" s="336"/>
      <c r="K188" s="336"/>
      <c r="L188" s="336"/>
      <c r="M188" s="336"/>
    </row>
    <row r="189" spans="9:13" ht="12.75" customHeight="1">
      <c r="I189" s="336"/>
      <c r="J189" s="336"/>
      <c r="K189" s="336"/>
      <c r="L189" s="336"/>
      <c r="M189" s="336"/>
    </row>
    <row r="190" spans="9:13" ht="12.75" customHeight="1">
      <c r="I190" s="336"/>
      <c r="J190" s="336"/>
      <c r="K190" s="336"/>
      <c r="L190" s="336"/>
      <c r="M190" s="336"/>
    </row>
    <row r="191" spans="9:13" ht="12.75" customHeight="1">
      <c r="I191" s="336"/>
      <c r="J191" s="336"/>
      <c r="K191" s="336"/>
      <c r="L191" s="336"/>
      <c r="M191" s="336"/>
    </row>
    <row r="192" spans="9:13" ht="12.75" customHeight="1">
      <c r="I192" s="336"/>
      <c r="J192" s="336"/>
      <c r="K192" s="336"/>
      <c r="L192" s="336"/>
      <c r="M192" s="336"/>
    </row>
    <row r="193" spans="9:13" ht="12.75" customHeight="1">
      <c r="I193" s="336"/>
      <c r="J193" s="336"/>
      <c r="K193" s="336"/>
      <c r="L193" s="336"/>
      <c r="M193" s="336"/>
    </row>
    <row r="194" spans="9:13" ht="12.75" customHeight="1">
      <c r="I194" s="336"/>
      <c r="J194" s="336"/>
      <c r="K194" s="336"/>
      <c r="L194" s="336"/>
      <c r="M194" s="336"/>
    </row>
    <row r="195" spans="9:13" ht="12.75" customHeight="1">
      <c r="I195" s="336"/>
      <c r="J195" s="336"/>
      <c r="K195" s="336"/>
      <c r="L195" s="336"/>
      <c r="M195" s="336"/>
    </row>
    <row r="196" spans="9:13" ht="12.75" customHeight="1">
      <c r="I196" s="336"/>
      <c r="J196" s="336"/>
      <c r="K196" s="336"/>
      <c r="L196" s="336"/>
      <c r="M196" s="336"/>
    </row>
    <row r="197" spans="9:13" ht="12.75" customHeight="1">
      <c r="I197" s="336"/>
      <c r="J197" s="336"/>
      <c r="K197" s="336"/>
      <c r="L197" s="336"/>
      <c r="M197" s="336"/>
    </row>
    <row r="198" spans="9:13" ht="12.75" customHeight="1">
      <c r="I198" s="336"/>
      <c r="J198" s="336"/>
      <c r="K198" s="336"/>
      <c r="L198" s="336"/>
      <c r="M198" s="336"/>
    </row>
    <row r="199" spans="9:13" ht="12.75" customHeight="1">
      <c r="I199" s="336"/>
      <c r="J199" s="336"/>
      <c r="K199" s="336"/>
      <c r="L199" s="336"/>
      <c r="M199" s="336"/>
    </row>
    <row r="200" spans="9:13" ht="12.75" customHeight="1">
      <c r="I200" s="336"/>
      <c r="J200" s="336"/>
      <c r="K200" s="336"/>
      <c r="L200" s="336"/>
      <c r="M200" s="336"/>
    </row>
    <row r="201" spans="9:13" ht="12.75" customHeight="1">
      <c r="I201" s="336"/>
      <c r="J201" s="336"/>
      <c r="K201" s="336"/>
      <c r="L201" s="336"/>
      <c r="M201" s="336"/>
    </row>
    <row r="202" spans="9:13" ht="12.75" customHeight="1">
      <c r="I202" s="336"/>
      <c r="J202" s="336"/>
      <c r="K202" s="336"/>
      <c r="L202" s="336"/>
      <c r="M202" s="336"/>
    </row>
    <row r="203" spans="9:13" ht="12.75" customHeight="1">
      <c r="I203" s="336"/>
      <c r="J203" s="336"/>
      <c r="K203" s="336"/>
      <c r="L203" s="336"/>
      <c r="M203" s="336"/>
    </row>
    <row r="204" spans="9:13" ht="12.75" customHeight="1">
      <c r="I204" s="336"/>
      <c r="J204" s="336"/>
      <c r="K204" s="336"/>
      <c r="L204" s="336"/>
      <c r="M204" s="336"/>
    </row>
    <row r="205" spans="9:13" ht="12.75" customHeight="1">
      <c r="I205" s="336"/>
      <c r="J205" s="336"/>
      <c r="K205" s="336"/>
      <c r="L205" s="336"/>
      <c r="M205" s="336"/>
    </row>
    <row r="206" spans="9:13" ht="12.75" customHeight="1">
      <c r="I206" s="336"/>
      <c r="J206" s="336"/>
      <c r="K206" s="336"/>
      <c r="L206" s="336"/>
      <c r="M206" s="336"/>
    </row>
    <row r="207" spans="9:13" ht="12.75" customHeight="1">
      <c r="I207" s="336"/>
      <c r="J207" s="336"/>
      <c r="K207" s="336"/>
      <c r="L207" s="336"/>
      <c r="M207" s="336"/>
    </row>
    <row r="208" spans="9:13" ht="12.75" customHeight="1">
      <c r="I208" s="336"/>
      <c r="J208" s="336"/>
      <c r="K208" s="336"/>
      <c r="L208" s="336"/>
      <c r="M208" s="336"/>
    </row>
    <row r="209" spans="9:13" ht="12.75" customHeight="1">
      <c r="I209" s="336"/>
      <c r="J209" s="336"/>
      <c r="K209" s="336"/>
      <c r="L209" s="336"/>
      <c r="M209" s="336"/>
    </row>
    <row r="210" spans="9:13" ht="12.75" customHeight="1">
      <c r="I210" s="336"/>
      <c r="J210" s="336"/>
      <c r="K210" s="336"/>
      <c r="L210" s="336"/>
      <c r="M210" s="336"/>
    </row>
    <row r="211" spans="9:13" ht="12.75" customHeight="1">
      <c r="I211" s="336"/>
      <c r="J211" s="336"/>
      <c r="K211" s="336"/>
      <c r="L211" s="336"/>
      <c r="M211" s="336"/>
    </row>
    <row r="212" spans="9:13" ht="12.75" customHeight="1">
      <c r="I212" s="336"/>
      <c r="J212" s="336"/>
      <c r="K212" s="336"/>
      <c r="L212" s="336"/>
      <c r="M212" s="336"/>
    </row>
    <row r="213" spans="9:13" ht="12.75" customHeight="1">
      <c r="I213" s="336"/>
      <c r="J213" s="336"/>
      <c r="K213" s="336"/>
      <c r="L213" s="336"/>
      <c r="M213" s="336"/>
    </row>
    <row r="214" spans="9:13" ht="12.75" customHeight="1">
      <c r="I214" s="336"/>
      <c r="J214" s="336"/>
      <c r="K214" s="336"/>
      <c r="L214" s="336"/>
      <c r="M214" s="336"/>
    </row>
    <row r="215" spans="9:13" ht="12.75" customHeight="1">
      <c r="I215" s="336"/>
      <c r="J215" s="336"/>
      <c r="K215" s="336"/>
      <c r="L215" s="336"/>
      <c r="M215" s="336"/>
    </row>
    <row r="216" spans="9:13" ht="12.75" customHeight="1">
      <c r="I216" s="336"/>
      <c r="J216" s="336"/>
      <c r="K216" s="336"/>
      <c r="L216" s="336"/>
      <c r="M216" s="336"/>
    </row>
    <row r="217" spans="9:13" ht="12.75" customHeight="1">
      <c r="I217" s="336"/>
      <c r="J217" s="336"/>
      <c r="K217" s="336"/>
      <c r="L217" s="336"/>
      <c r="M217" s="336"/>
    </row>
    <row r="218" spans="9:13" ht="12.75" customHeight="1">
      <c r="I218" s="336"/>
      <c r="J218" s="336"/>
      <c r="K218" s="336"/>
      <c r="L218" s="336"/>
      <c r="M218" s="336"/>
    </row>
    <row r="219" spans="9:13" ht="12.75" customHeight="1">
      <c r="I219" s="336"/>
      <c r="J219" s="336"/>
      <c r="K219" s="336"/>
      <c r="L219" s="336"/>
      <c r="M219" s="336"/>
    </row>
    <row r="220" spans="9:13" ht="12.75" customHeight="1">
      <c r="I220" s="336"/>
      <c r="J220" s="336"/>
      <c r="K220" s="336"/>
      <c r="L220" s="336"/>
      <c r="M220" s="336"/>
    </row>
    <row r="221" spans="9:13" ht="12.75" customHeight="1">
      <c r="I221" s="336"/>
      <c r="J221" s="336"/>
      <c r="K221" s="336"/>
      <c r="L221" s="336"/>
      <c r="M221" s="336"/>
    </row>
    <row r="222" spans="9:13" ht="12.75" customHeight="1">
      <c r="I222" s="336"/>
      <c r="J222" s="336"/>
      <c r="K222" s="336"/>
      <c r="L222" s="336"/>
      <c r="M222" s="336"/>
    </row>
    <row r="223" spans="9:13" ht="12.75" customHeight="1">
      <c r="I223" s="336"/>
      <c r="J223" s="336"/>
      <c r="K223" s="336"/>
      <c r="L223" s="336"/>
      <c r="M223" s="336"/>
    </row>
    <row r="224" spans="9:13" ht="12.75" customHeight="1">
      <c r="I224" s="336"/>
      <c r="J224" s="336"/>
      <c r="K224" s="336"/>
      <c r="L224" s="336"/>
      <c r="M224" s="336"/>
    </row>
    <row r="225" spans="9:13" ht="12.75" customHeight="1">
      <c r="I225" s="336"/>
      <c r="J225" s="336"/>
      <c r="K225" s="336"/>
      <c r="L225" s="336"/>
      <c r="M225" s="336"/>
    </row>
    <row r="226" spans="9:13" ht="12.75" customHeight="1">
      <c r="I226" s="336"/>
      <c r="J226" s="336"/>
      <c r="K226" s="336"/>
      <c r="L226" s="336"/>
      <c r="M226" s="336"/>
    </row>
    <row r="227" spans="9:13" ht="12.75" customHeight="1">
      <c r="I227" s="336"/>
      <c r="J227" s="336"/>
      <c r="K227" s="336"/>
      <c r="L227" s="336"/>
      <c r="M227" s="336"/>
    </row>
    <row r="228" spans="9:13" ht="12.75" customHeight="1">
      <c r="I228" s="336"/>
      <c r="J228" s="336"/>
      <c r="K228" s="336"/>
      <c r="L228" s="336"/>
      <c r="M228" s="336"/>
    </row>
    <row r="229" spans="9:13" ht="12.75" customHeight="1">
      <c r="I229" s="336"/>
      <c r="J229" s="336"/>
      <c r="K229" s="336"/>
      <c r="L229" s="336"/>
      <c r="M229" s="336"/>
    </row>
    <row r="230" spans="9:13" ht="12.75" customHeight="1">
      <c r="I230" s="336"/>
      <c r="J230" s="336"/>
      <c r="K230" s="336"/>
      <c r="L230" s="336"/>
      <c r="M230" s="336"/>
    </row>
    <row r="231" spans="9:13" ht="12.75" customHeight="1">
      <c r="I231" s="336"/>
      <c r="J231" s="336"/>
      <c r="K231" s="336"/>
      <c r="L231" s="336"/>
      <c r="M231" s="336"/>
    </row>
    <row r="232" spans="9:13" ht="12.75" customHeight="1">
      <c r="I232" s="336"/>
      <c r="J232" s="336"/>
      <c r="K232" s="336"/>
      <c r="L232" s="336"/>
      <c r="M232" s="336"/>
    </row>
    <row r="233" spans="9:13" ht="12.75" customHeight="1">
      <c r="I233" s="336"/>
      <c r="J233" s="336"/>
      <c r="K233" s="336"/>
      <c r="L233" s="336"/>
      <c r="M233" s="336"/>
    </row>
    <row r="234" spans="9:13" ht="12.75" customHeight="1">
      <c r="I234" s="336"/>
      <c r="J234" s="336"/>
      <c r="K234" s="336"/>
      <c r="L234" s="336"/>
      <c r="M234" s="336"/>
    </row>
    <row r="235" spans="9:13" ht="12.75" customHeight="1">
      <c r="I235" s="336"/>
      <c r="J235" s="336"/>
      <c r="K235" s="336"/>
      <c r="L235" s="336"/>
      <c r="M235" s="336"/>
    </row>
    <row r="236" spans="9:13" ht="12.75" customHeight="1">
      <c r="I236" s="336"/>
      <c r="J236" s="336"/>
      <c r="K236" s="336"/>
      <c r="L236" s="336"/>
      <c r="M236" s="336"/>
    </row>
    <row r="237" spans="9:13" ht="12.75" customHeight="1">
      <c r="I237" s="336"/>
      <c r="J237" s="336"/>
      <c r="K237" s="336"/>
      <c r="L237" s="336"/>
      <c r="M237" s="336"/>
    </row>
    <row r="238" spans="9:13" ht="12.75" customHeight="1">
      <c r="I238" s="336"/>
      <c r="J238" s="336"/>
      <c r="K238" s="336"/>
      <c r="L238" s="336"/>
      <c r="M238" s="336"/>
    </row>
    <row r="239" spans="9:13" ht="12.75" customHeight="1">
      <c r="I239" s="336"/>
      <c r="J239" s="336"/>
      <c r="K239" s="336"/>
      <c r="L239" s="336"/>
      <c r="M239" s="336"/>
    </row>
    <row r="240" spans="9:13" ht="12.75" customHeight="1">
      <c r="I240" s="336"/>
      <c r="J240" s="336"/>
      <c r="K240" s="336"/>
      <c r="L240" s="336"/>
      <c r="M240" s="336"/>
    </row>
    <row r="241" spans="9:13" ht="12.75" customHeight="1">
      <c r="I241" s="336"/>
      <c r="J241" s="336"/>
      <c r="K241" s="336"/>
      <c r="L241" s="336"/>
      <c r="M241" s="336"/>
    </row>
    <row r="242" spans="9:13" ht="12.75" customHeight="1">
      <c r="I242" s="336"/>
      <c r="J242" s="336"/>
      <c r="K242" s="336"/>
      <c r="L242" s="336"/>
      <c r="M242" s="336"/>
    </row>
    <row r="243" spans="9:13" ht="12.75" customHeight="1">
      <c r="I243" s="336"/>
      <c r="J243" s="336"/>
      <c r="K243" s="336"/>
      <c r="L243" s="336"/>
      <c r="M243" s="336"/>
    </row>
    <row r="244" spans="9:13" ht="12.75" customHeight="1">
      <c r="I244" s="336"/>
      <c r="J244" s="336"/>
      <c r="K244" s="336"/>
      <c r="L244" s="336"/>
      <c r="M244" s="336"/>
    </row>
    <row r="245" spans="9:13" ht="12.75" customHeight="1">
      <c r="I245" s="336"/>
      <c r="J245" s="336"/>
      <c r="K245" s="336"/>
      <c r="L245" s="336"/>
      <c r="M245" s="336"/>
    </row>
    <row r="246" spans="9:13" ht="12.75" customHeight="1">
      <c r="I246" s="336"/>
      <c r="J246" s="336"/>
      <c r="K246" s="336"/>
      <c r="L246" s="336"/>
      <c r="M246" s="336"/>
    </row>
    <row r="247" spans="9:13" ht="12.75" customHeight="1">
      <c r="I247" s="336"/>
      <c r="J247" s="336"/>
      <c r="K247" s="336"/>
      <c r="L247" s="336"/>
      <c r="M247" s="336"/>
    </row>
    <row r="248" spans="9:13" ht="12.75" customHeight="1">
      <c r="I248" s="336"/>
      <c r="J248" s="336"/>
      <c r="K248" s="336"/>
      <c r="L248" s="336"/>
      <c r="M248" s="336"/>
    </row>
    <row r="249" spans="9:13" ht="12.75" customHeight="1">
      <c r="I249" s="336"/>
      <c r="J249" s="336"/>
      <c r="K249" s="336"/>
      <c r="L249" s="336"/>
      <c r="M249" s="336"/>
    </row>
    <row r="250" spans="9:13" ht="12.75" customHeight="1">
      <c r="I250" s="336"/>
      <c r="J250" s="336"/>
      <c r="K250" s="336"/>
      <c r="L250" s="336"/>
      <c r="M250" s="336"/>
    </row>
    <row r="251" spans="9:13" ht="12.75" customHeight="1">
      <c r="I251" s="336"/>
      <c r="J251" s="336"/>
      <c r="K251" s="336"/>
      <c r="L251" s="336"/>
      <c r="M251" s="336"/>
    </row>
    <row r="252" spans="9:13" ht="12.75" customHeight="1">
      <c r="I252" s="336"/>
      <c r="J252" s="336"/>
      <c r="K252" s="336"/>
      <c r="L252" s="336"/>
      <c r="M252" s="336"/>
    </row>
    <row r="253" spans="9:13" ht="12.75" customHeight="1">
      <c r="I253" s="336"/>
      <c r="J253" s="336"/>
      <c r="K253" s="336"/>
      <c r="L253" s="336"/>
      <c r="M253" s="336"/>
    </row>
    <row r="254" spans="9:13" ht="12.75" customHeight="1">
      <c r="I254" s="336"/>
      <c r="J254" s="336"/>
      <c r="K254" s="336"/>
      <c r="L254" s="336"/>
      <c r="M254" s="336"/>
    </row>
    <row r="255" spans="9:13" ht="12.75" customHeight="1">
      <c r="I255" s="336"/>
      <c r="J255" s="336"/>
      <c r="K255" s="336"/>
      <c r="L255" s="336"/>
      <c r="M255" s="336"/>
    </row>
    <row r="256" spans="9:13" ht="12.75" customHeight="1">
      <c r="I256" s="336"/>
      <c r="J256" s="336"/>
      <c r="K256" s="336"/>
      <c r="L256" s="336"/>
      <c r="M256" s="336"/>
    </row>
    <row r="257" spans="9:13" ht="12.75" customHeight="1">
      <c r="I257" s="336"/>
      <c r="J257" s="336"/>
      <c r="K257" s="336"/>
      <c r="L257" s="336"/>
      <c r="M257" s="336"/>
    </row>
    <row r="258" spans="9:13" ht="12.75" customHeight="1">
      <c r="I258" s="336"/>
      <c r="J258" s="336"/>
      <c r="K258" s="336"/>
      <c r="L258" s="336"/>
      <c r="M258" s="336"/>
    </row>
    <row r="259" spans="9:13" ht="12.75" customHeight="1">
      <c r="I259" s="336"/>
      <c r="J259" s="336"/>
      <c r="K259" s="336"/>
      <c r="L259" s="336"/>
      <c r="M259" s="336"/>
    </row>
    <row r="260" spans="9:13" ht="12.75" customHeight="1">
      <c r="I260" s="336"/>
      <c r="J260" s="336"/>
      <c r="K260" s="336"/>
      <c r="L260" s="336"/>
      <c r="M260" s="336"/>
    </row>
    <row r="261" spans="9:13" ht="12.75" customHeight="1">
      <c r="I261" s="336"/>
      <c r="J261" s="336"/>
      <c r="K261" s="336"/>
      <c r="L261" s="336"/>
      <c r="M261" s="336"/>
    </row>
    <row r="262" spans="9:13" ht="12.75" customHeight="1">
      <c r="I262" s="336"/>
      <c r="J262" s="336"/>
      <c r="K262" s="336"/>
      <c r="L262" s="336"/>
      <c r="M262" s="336"/>
    </row>
    <row r="263" spans="9:13" ht="12.75" customHeight="1">
      <c r="I263" s="336"/>
      <c r="J263" s="336"/>
      <c r="K263" s="336"/>
      <c r="L263" s="336"/>
      <c r="M263" s="336"/>
    </row>
    <row r="264" spans="9:13" ht="12.75" customHeight="1">
      <c r="I264" s="336"/>
      <c r="J264" s="336"/>
      <c r="K264" s="336"/>
      <c r="L264" s="336"/>
      <c r="M264" s="336"/>
    </row>
    <row r="265" spans="9:13" ht="12.75" customHeight="1">
      <c r="I265" s="336"/>
      <c r="J265" s="336"/>
      <c r="K265" s="336"/>
      <c r="L265" s="336"/>
      <c r="M265" s="336"/>
    </row>
    <row r="266" spans="9:13" ht="12.75" customHeight="1">
      <c r="I266" s="336"/>
      <c r="J266" s="336"/>
      <c r="K266" s="336"/>
      <c r="L266" s="336"/>
      <c r="M266" s="336"/>
    </row>
    <row r="267" spans="9:13" ht="12.75" customHeight="1">
      <c r="I267" s="336"/>
      <c r="J267" s="336"/>
      <c r="K267" s="336"/>
      <c r="L267" s="336"/>
      <c r="M267" s="336"/>
    </row>
    <row r="268" spans="9:13" ht="12.75" customHeight="1">
      <c r="I268" s="336"/>
      <c r="J268" s="336"/>
      <c r="K268" s="336"/>
      <c r="L268" s="336"/>
      <c r="M268" s="336"/>
    </row>
    <row r="269" spans="9:13" ht="12.75" customHeight="1">
      <c r="I269" s="336"/>
      <c r="J269" s="336"/>
      <c r="K269" s="336"/>
      <c r="L269" s="336"/>
      <c r="M269" s="336"/>
    </row>
    <row r="270" spans="9:13" ht="12.75" customHeight="1">
      <c r="I270" s="336"/>
      <c r="J270" s="336"/>
      <c r="K270" s="336"/>
      <c r="L270" s="336"/>
      <c r="M270" s="336"/>
    </row>
    <row r="271" spans="9:13" ht="12.75" customHeight="1">
      <c r="I271" s="336"/>
      <c r="J271" s="336"/>
      <c r="K271" s="336"/>
      <c r="L271" s="336"/>
      <c r="M271" s="336"/>
    </row>
    <row r="272" spans="9:13" ht="12.75" customHeight="1">
      <c r="I272" s="336"/>
      <c r="J272" s="336"/>
      <c r="K272" s="336"/>
      <c r="L272" s="336"/>
      <c r="M272" s="336"/>
    </row>
    <row r="273" spans="9:13" ht="12.75" customHeight="1">
      <c r="I273" s="336"/>
      <c r="J273" s="336"/>
      <c r="K273" s="336"/>
      <c r="L273" s="336"/>
      <c r="M273" s="336"/>
    </row>
    <row r="274" spans="9:13" ht="12.75" customHeight="1">
      <c r="I274" s="336"/>
      <c r="J274" s="336"/>
      <c r="K274" s="336"/>
      <c r="L274" s="336"/>
      <c r="M274" s="336"/>
    </row>
    <row r="275" spans="9:13" ht="12.75" customHeight="1">
      <c r="I275" s="336"/>
      <c r="J275" s="336"/>
      <c r="K275" s="336"/>
      <c r="L275" s="336"/>
      <c r="M275" s="336"/>
    </row>
    <row r="276" spans="9:13" ht="12.75" customHeight="1">
      <c r="I276" s="336"/>
      <c r="J276" s="336"/>
      <c r="K276" s="336"/>
      <c r="L276" s="336"/>
      <c r="M276" s="336"/>
    </row>
    <row r="277" spans="9:13" ht="12.75" customHeight="1">
      <c r="I277" s="336"/>
      <c r="J277" s="336"/>
      <c r="K277" s="336"/>
      <c r="L277" s="336"/>
      <c r="M277" s="336"/>
    </row>
    <row r="278" spans="9:13" ht="12.75" customHeight="1">
      <c r="I278" s="336"/>
      <c r="J278" s="336"/>
      <c r="K278" s="336"/>
      <c r="L278" s="336"/>
      <c r="M278" s="336"/>
    </row>
    <row r="279" spans="9:13" ht="12.75" customHeight="1">
      <c r="I279" s="336"/>
      <c r="J279" s="336"/>
      <c r="K279" s="336"/>
      <c r="L279" s="336"/>
      <c r="M279" s="336"/>
    </row>
    <row r="280" spans="9:13" ht="12.75" customHeight="1">
      <c r="I280" s="336"/>
      <c r="J280" s="336"/>
      <c r="K280" s="336"/>
      <c r="L280" s="336"/>
      <c r="M280" s="336"/>
    </row>
    <row r="281" spans="9:13" ht="12.75" customHeight="1">
      <c r="I281" s="336"/>
      <c r="J281" s="336"/>
      <c r="K281" s="336"/>
      <c r="L281" s="336"/>
      <c r="M281" s="336"/>
    </row>
    <row r="282" spans="9:13" ht="12.75" customHeight="1">
      <c r="I282" s="336"/>
      <c r="J282" s="336"/>
      <c r="K282" s="336"/>
      <c r="L282" s="336"/>
      <c r="M282" s="336"/>
    </row>
    <row r="283" spans="9:13" ht="12.75" customHeight="1">
      <c r="I283" s="336"/>
      <c r="J283" s="336"/>
      <c r="K283" s="336"/>
      <c r="L283" s="336"/>
      <c r="M283" s="336"/>
    </row>
    <row r="284" spans="9:13" ht="12.75" customHeight="1">
      <c r="I284" s="336"/>
      <c r="J284" s="336"/>
      <c r="K284" s="336"/>
      <c r="L284" s="336"/>
      <c r="M284" s="336"/>
    </row>
    <row r="285" spans="9:13" ht="12.75" customHeight="1">
      <c r="I285" s="336"/>
      <c r="J285" s="336"/>
      <c r="K285" s="336"/>
      <c r="L285" s="336"/>
      <c r="M285" s="336"/>
    </row>
    <row r="286" spans="9:13" ht="12.75" customHeight="1">
      <c r="I286" s="336"/>
      <c r="J286" s="336"/>
      <c r="K286" s="336"/>
      <c r="L286" s="336"/>
      <c r="M286" s="336"/>
    </row>
    <row r="287" spans="9:13" ht="12.75" customHeight="1">
      <c r="I287" s="336"/>
      <c r="J287" s="336"/>
      <c r="K287" s="336"/>
      <c r="L287" s="336"/>
      <c r="M287" s="336"/>
    </row>
    <row r="288" spans="9:13" ht="12.75" customHeight="1">
      <c r="I288" s="336"/>
      <c r="J288" s="336"/>
      <c r="K288" s="336"/>
      <c r="L288" s="336"/>
      <c r="M288" s="336"/>
    </row>
    <row r="289" spans="9:13" ht="12.75" customHeight="1">
      <c r="I289" s="336"/>
      <c r="J289" s="336"/>
      <c r="K289" s="336"/>
      <c r="L289" s="336"/>
      <c r="M289" s="336"/>
    </row>
    <row r="290" spans="9:13" ht="12.75" customHeight="1">
      <c r="I290" s="336"/>
      <c r="J290" s="336"/>
      <c r="K290" s="336"/>
      <c r="L290" s="336"/>
      <c r="M290" s="336"/>
    </row>
    <row r="291" spans="9:13" ht="12.75" customHeight="1">
      <c r="I291" s="336"/>
      <c r="J291" s="336"/>
      <c r="K291" s="336"/>
      <c r="L291" s="336"/>
      <c r="M291" s="336"/>
    </row>
    <row r="292" spans="9:13" ht="12.75" customHeight="1">
      <c r="I292" s="336"/>
      <c r="J292" s="336"/>
      <c r="K292" s="336"/>
      <c r="L292" s="336"/>
      <c r="M292" s="336"/>
    </row>
    <row r="293" spans="9:13" ht="12.75" customHeight="1">
      <c r="I293" s="336"/>
      <c r="J293" s="336"/>
      <c r="K293" s="336"/>
      <c r="L293" s="336"/>
      <c r="M293" s="336"/>
    </row>
    <row r="294" spans="9:13" ht="12.75" customHeight="1">
      <c r="I294" s="336"/>
      <c r="J294" s="336"/>
      <c r="K294" s="336"/>
      <c r="L294" s="336"/>
      <c r="M294" s="336"/>
    </row>
    <row r="295" spans="9:13" ht="12.75" customHeight="1">
      <c r="I295" s="336"/>
      <c r="J295" s="336"/>
      <c r="K295" s="336"/>
      <c r="L295" s="336"/>
      <c r="M295" s="336"/>
    </row>
    <row r="296" spans="9:13" ht="12.75" customHeight="1">
      <c r="I296" s="336"/>
      <c r="J296" s="336"/>
      <c r="K296" s="336"/>
      <c r="L296" s="336"/>
      <c r="M296" s="336"/>
    </row>
    <row r="297" spans="9:13" ht="12.75" customHeight="1">
      <c r="I297" s="336"/>
      <c r="J297" s="336"/>
      <c r="K297" s="336"/>
      <c r="L297" s="336"/>
      <c r="M297" s="336"/>
    </row>
    <row r="298" spans="9:13" ht="12.75" customHeight="1">
      <c r="I298" s="336"/>
      <c r="J298" s="336"/>
      <c r="K298" s="336"/>
      <c r="L298" s="336"/>
      <c r="M298" s="336"/>
    </row>
    <row r="299" spans="9:13" ht="12.75" customHeight="1">
      <c r="I299" s="336"/>
      <c r="J299" s="336"/>
      <c r="K299" s="336"/>
      <c r="L299" s="336"/>
      <c r="M299" s="336"/>
    </row>
    <row r="300" spans="9:13" ht="12.75" customHeight="1">
      <c r="I300" s="336"/>
      <c r="J300" s="336"/>
      <c r="K300" s="336"/>
      <c r="L300" s="336"/>
      <c r="M300" s="336"/>
    </row>
    <row r="301" spans="9:13" ht="12.75" customHeight="1">
      <c r="I301" s="336"/>
      <c r="J301" s="336"/>
      <c r="K301" s="336"/>
      <c r="L301" s="336"/>
      <c r="M301" s="336"/>
    </row>
    <row r="302" spans="9:13" ht="12.75" customHeight="1">
      <c r="I302" s="336"/>
      <c r="J302" s="336"/>
      <c r="K302" s="336"/>
      <c r="L302" s="336"/>
      <c r="M302" s="336"/>
    </row>
    <row r="303" spans="9:13" ht="12.75" customHeight="1">
      <c r="I303" s="336"/>
      <c r="J303" s="336"/>
      <c r="K303" s="336"/>
      <c r="L303" s="336"/>
      <c r="M303" s="336"/>
    </row>
    <row r="304" spans="9:13" ht="12.75" customHeight="1">
      <c r="I304" s="336"/>
      <c r="J304" s="336"/>
      <c r="K304" s="336"/>
      <c r="L304" s="336"/>
      <c r="M304" s="336"/>
    </row>
    <row r="305" spans="9:13" ht="12.75" customHeight="1">
      <c r="I305" s="336"/>
      <c r="J305" s="336"/>
      <c r="K305" s="336"/>
      <c r="L305" s="336"/>
      <c r="M305" s="336"/>
    </row>
    <row r="306" spans="9:13" ht="12.75" customHeight="1">
      <c r="I306" s="336"/>
      <c r="J306" s="336"/>
      <c r="K306" s="336"/>
      <c r="L306" s="336"/>
      <c r="M306" s="336"/>
    </row>
    <row r="307" spans="9:13" ht="12.75" customHeight="1">
      <c r="I307" s="336"/>
      <c r="J307" s="336"/>
      <c r="K307" s="336"/>
      <c r="L307" s="336"/>
      <c r="M307" s="336"/>
    </row>
    <row r="308" spans="9:13" ht="12.75" customHeight="1">
      <c r="I308" s="336"/>
      <c r="J308" s="336"/>
      <c r="K308" s="336"/>
      <c r="L308" s="336"/>
      <c r="M308" s="336"/>
    </row>
    <row r="309" spans="9:13" ht="12.75" customHeight="1">
      <c r="I309" s="336"/>
      <c r="J309" s="336"/>
      <c r="K309" s="336"/>
      <c r="L309" s="336"/>
      <c r="M309" s="336"/>
    </row>
    <row r="310" spans="9:13" ht="12.75" customHeight="1">
      <c r="I310" s="336"/>
      <c r="J310" s="336"/>
      <c r="K310" s="336"/>
      <c r="L310" s="336"/>
      <c r="M310" s="336"/>
    </row>
    <row r="311" spans="9:13" ht="12.75" customHeight="1">
      <c r="I311" s="336"/>
      <c r="J311" s="336"/>
      <c r="K311" s="336"/>
      <c r="L311" s="336"/>
      <c r="M311" s="336"/>
    </row>
    <row r="312" spans="9:13" ht="12.75" customHeight="1">
      <c r="I312" s="336"/>
      <c r="J312" s="336"/>
      <c r="K312" s="336"/>
      <c r="L312" s="336"/>
      <c r="M312" s="336"/>
    </row>
    <row r="313" spans="9:13" ht="12.75" customHeight="1">
      <c r="I313" s="336"/>
      <c r="J313" s="336"/>
      <c r="K313" s="336"/>
      <c r="L313" s="336"/>
      <c r="M313" s="336"/>
    </row>
    <row r="314" spans="9:13" ht="12.75" customHeight="1">
      <c r="I314" s="336"/>
      <c r="J314" s="336"/>
      <c r="K314" s="336"/>
      <c r="L314" s="336"/>
      <c r="M314" s="336"/>
    </row>
    <row r="315" spans="9:13" ht="12.75" customHeight="1">
      <c r="I315" s="336"/>
      <c r="J315" s="336"/>
      <c r="K315" s="336"/>
      <c r="L315" s="336"/>
      <c r="M315" s="336"/>
    </row>
    <row r="316" spans="9:13" ht="12.75" customHeight="1">
      <c r="I316" s="336"/>
      <c r="J316" s="336"/>
      <c r="K316" s="336"/>
      <c r="L316" s="336"/>
      <c r="M316" s="336"/>
    </row>
    <row r="317" spans="9:13" ht="12.75" customHeight="1">
      <c r="I317" s="336"/>
      <c r="J317" s="336"/>
      <c r="K317" s="336"/>
      <c r="L317" s="336"/>
      <c r="M317" s="336"/>
    </row>
    <row r="318" spans="9:13" ht="12.75" customHeight="1">
      <c r="I318" s="336"/>
      <c r="J318" s="336"/>
      <c r="K318" s="336"/>
      <c r="L318" s="336"/>
      <c r="M318" s="336"/>
    </row>
    <row r="319" spans="9:13" ht="12.75" customHeight="1">
      <c r="I319" s="336"/>
      <c r="J319" s="336"/>
      <c r="K319" s="336"/>
      <c r="L319" s="336"/>
      <c r="M319" s="336"/>
    </row>
    <row r="320" spans="9:13" ht="12.75" customHeight="1">
      <c r="I320" s="336"/>
      <c r="J320" s="336"/>
      <c r="K320" s="336"/>
      <c r="L320" s="336"/>
      <c r="M320" s="336"/>
    </row>
    <row r="321" spans="9:13" ht="12.75" customHeight="1">
      <c r="I321" s="336"/>
      <c r="J321" s="336"/>
      <c r="K321" s="336"/>
      <c r="L321" s="336"/>
      <c r="M321" s="336"/>
    </row>
    <row r="322" spans="9:13" ht="12.75" customHeight="1">
      <c r="I322" s="336"/>
      <c r="J322" s="336"/>
      <c r="K322" s="336"/>
      <c r="L322" s="336"/>
      <c r="M322" s="336"/>
    </row>
    <row r="323" spans="9:13" ht="12.75" customHeight="1">
      <c r="I323" s="336"/>
      <c r="J323" s="336"/>
      <c r="K323" s="336"/>
      <c r="L323" s="336"/>
      <c r="M323" s="336"/>
    </row>
    <row r="324" spans="9:13" ht="12.75" customHeight="1">
      <c r="I324" s="336"/>
      <c r="J324" s="336"/>
      <c r="K324" s="336"/>
      <c r="L324" s="336"/>
      <c r="M324" s="336"/>
    </row>
    <row r="325" spans="9:13" ht="12.75" customHeight="1">
      <c r="I325" s="336"/>
      <c r="J325" s="336"/>
      <c r="K325" s="336"/>
      <c r="L325" s="336"/>
      <c r="M325" s="336"/>
    </row>
    <row r="326" spans="9:13" ht="12.75" customHeight="1">
      <c r="I326" s="336"/>
      <c r="J326" s="336"/>
      <c r="K326" s="336"/>
      <c r="L326" s="336"/>
      <c r="M326" s="336"/>
    </row>
    <row r="327" spans="9:13" ht="12.75" customHeight="1">
      <c r="I327" s="336"/>
      <c r="J327" s="336"/>
      <c r="K327" s="336"/>
      <c r="L327" s="336"/>
      <c r="M327" s="336"/>
    </row>
    <row r="328" spans="9:13" ht="12.75" customHeight="1">
      <c r="I328" s="336"/>
      <c r="J328" s="336"/>
      <c r="K328" s="336"/>
      <c r="L328" s="336"/>
      <c r="M328" s="336"/>
    </row>
    <row r="329" spans="9:13" ht="12.75" customHeight="1">
      <c r="I329" s="336"/>
      <c r="J329" s="336"/>
      <c r="K329" s="336"/>
      <c r="L329" s="336"/>
      <c r="M329" s="336"/>
    </row>
    <row r="330" spans="9:13" ht="12.75" customHeight="1">
      <c r="I330" s="336"/>
      <c r="J330" s="336"/>
      <c r="K330" s="336"/>
      <c r="L330" s="336"/>
      <c r="M330" s="336"/>
    </row>
    <row r="331" spans="9:13" ht="12.75" customHeight="1">
      <c r="I331" s="336"/>
      <c r="J331" s="336"/>
      <c r="K331" s="336"/>
      <c r="L331" s="336"/>
      <c r="M331" s="336"/>
    </row>
    <row r="332" spans="9:13" ht="12.75" customHeight="1">
      <c r="I332" s="336"/>
      <c r="J332" s="336"/>
      <c r="K332" s="336"/>
      <c r="L332" s="336"/>
      <c r="M332" s="336"/>
    </row>
    <row r="333" spans="9:13" ht="12.75" customHeight="1">
      <c r="I333" s="336"/>
      <c r="J333" s="336"/>
      <c r="K333" s="336"/>
      <c r="L333" s="336"/>
      <c r="M333" s="336"/>
    </row>
    <row r="334" spans="9:13" ht="12.75" customHeight="1">
      <c r="I334" s="336"/>
      <c r="J334" s="336"/>
      <c r="K334" s="336"/>
      <c r="L334" s="336"/>
      <c r="M334" s="336"/>
    </row>
    <row r="335" spans="9:13" ht="12.75" customHeight="1">
      <c r="I335" s="336"/>
      <c r="J335" s="336"/>
      <c r="K335" s="336"/>
      <c r="L335" s="336"/>
      <c r="M335" s="336"/>
    </row>
    <row r="336" spans="9:13" ht="12.75" customHeight="1">
      <c r="I336" s="336"/>
      <c r="J336" s="336"/>
      <c r="K336" s="336"/>
      <c r="L336" s="336"/>
      <c r="M336" s="336"/>
    </row>
    <row r="337" spans="9:13" ht="12.75" customHeight="1">
      <c r="I337" s="336"/>
      <c r="J337" s="336"/>
      <c r="K337" s="336"/>
      <c r="L337" s="336"/>
      <c r="M337" s="336"/>
    </row>
    <row r="338" spans="9:13" ht="12.75" customHeight="1">
      <c r="I338" s="336"/>
      <c r="J338" s="336"/>
      <c r="K338" s="336"/>
      <c r="L338" s="336"/>
      <c r="M338" s="336"/>
    </row>
    <row r="339" spans="9:13" ht="12.75" customHeight="1">
      <c r="I339" s="336"/>
      <c r="J339" s="336"/>
      <c r="K339" s="336"/>
      <c r="L339" s="336"/>
      <c r="M339" s="336"/>
    </row>
    <row r="340" spans="9:13" ht="12.75" customHeight="1">
      <c r="I340" s="336"/>
      <c r="J340" s="336"/>
      <c r="K340" s="336"/>
      <c r="L340" s="336"/>
      <c r="M340" s="336"/>
    </row>
    <row r="341" spans="9:13" ht="12.75" customHeight="1">
      <c r="I341" s="336"/>
      <c r="J341" s="336"/>
      <c r="K341" s="336"/>
      <c r="L341" s="336"/>
      <c r="M341" s="336"/>
    </row>
    <row r="342" spans="9:13" ht="12.75" customHeight="1">
      <c r="I342" s="336"/>
      <c r="J342" s="336"/>
      <c r="K342" s="336"/>
      <c r="L342" s="336"/>
      <c r="M342" s="336"/>
    </row>
    <row r="343" spans="9:13" ht="12.75" customHeight="1">
      <c r="I343" s="336"/>
      <c r="J343" s="336"/>
      <c r="K343" s="336"/>
      <c r="L343" s="336"/>
      <c r="M343" s="336"/>
    </row>
    <row r="344" spans="9:13" ht="12.75" customHeight="1">
      <c r="I344" s="336"/>
      <c r="J344" s="336"/>
      <c r="K344" s="336"/>
      <c r="L344" s="336"/>
      <c r="M344" s="336"/>
    </row>
    <row r="345" spans="9:13" ht="12.75" customHeight="1">
      <c r="I345" s="336"/>
      <c r="J345" s="336"/>
      <c r="K345" s="336"/>
      <c r="L345" s="336"/>
      <c r="M345" s="336"/>
    </row>
    <row r="346" spans="9:13" ht="12.75" customHeight="1">
      <c r="I346" s="336"/>
      <c r="J346" s="336"/>
      <c r="K346" s="336"/>
      <c r="L346" s="336"/>
      <c r="M346" s="336"/>
    </row>
    <row r="347" spans="9:13" ht="12.75" customHeight="1">
      <c r="I347" s="336"/>
      <c r="J347" s="336"/>
      <c r="K347" s="336"/>
      <c r="L347" s="336"/>
      <c r="M347" s="336"/>
    </row>
    <row r="348" spans="9:13" ht="12.75" customHeight="1">
      <c r="I348" s="336"/>
      <c r="J348" s="336"/>
      <c r="K348" s="336"/>
      <c r="L348" s="336"/>
      <c r="M348" s="336"/>
    </row>
    <row r="349" spans="9:13" ht="12.75" customHeight="1">
      <c r="I349" s="336"/>
      <c r="J349" s="336"/>
      <c r="K349" s="336"/>
      <c r="L349" s="336"/>
      <c r="M349" s="336"/>
    </row>
    <row r="350" spans="9:13" ht="12.75" customHeight="1">
      <c r="I350" s="336"/>
      <c r="J350" s="336"/>
      <c r="K350" s="336"/>
      <c r="L350" s="336"/>
      <c r="M350" s="336"/>
    </row>
    <row r="351" spans="9:13" ht="12.75" customHeight="1">
      <c r="I351" s="336"/>
      <c r="J351" s="336"/>
      <c r="K351" s="336"/>
      <c r="L351" s="336"/>
      <c r="M351" s="336"/>
    </row>
    <row r="352" spans="9:13" ht="12.75" customHeight="1">
      <c r="I352" s="336"/>
      <c r="J352" s="336"/>
      <c r="K352" s="336"/>
      <c r="L352" s="336"/>
      <c r="M352" s="336"/>
    </row>
    <row r="353" spans="9:13" ht="12.75" customHeight="1">
      <c r="I353" s="336"/>
      <c r="J353" s="336"/>
      <c r="K353" s="336"/>
      <c r="L353" s="336"/>
      <c r="M353" s="336"/>
    </row>
    <row r="354" spans="9:13" ht="12.75" customHeight="1">
      <c r="I354" s="336"/>
      <c r="J354" s="336"/>
      <c r="K354" s="336"/>
      <c r="L354" s="336"/>
      <c r="M354" s="336"/>
    </row>
    <row r="355" spans="9:13" ht="12.75" customHeight="1">
      <c r="I355" s="336"/>
      <c r="J355" s="336"/>
      <c r="K355" s="336"/>
      <c r="L355" s="336"/>
      <c r="M355" s="336"/>
    </row>
    <row r="356" spans="9:13" ht="12.75" customHeight="1">
      <c r="I356" s="336"/>
      <c r="J356" s="336"/>
      <c r="K356" s="336"/>
      <c r="L356" s="336"/>
      <c r="M356" s="336"/>
    </row>
    <row r="357" spans="9:13" ht="12.75" customHeight="1">
      <c r="I357" s="336"/>
      <c r="J357" s="336"/>
      <c r="K357" s="336"/>
      <c r="L357" s="336"/>
      <c r="M357" s="336"/>
    </row>
    <row r="358" spans="9:13" ht="12.75" customHeight="1">
      <c r="I358" s="336"/>
      <c r="J358" s="336"/>
      <c r="K358" s="336"/>
      <c r="L358" s="336"/>
      <c r="M358" s="336"/>
    </row>
    <row r="359" spans="9:13" ht="12.75" customHeight="1">
      <c r="I359" s="336"/>
      <c r="J359" s="336"/>
      <c r="K359" s="336"/>
      <c r="L359" s="336"/>
      <c r="M359" s="336"/>
    </row>
    <row r="360" spans="9:13" ht="12.75" customHeight="1">
      <c r="I360" s="336"/>
      <c r="J360" s="336"/>
      <c r="K360" s="336"/>
      <c r="L360" s="336"/>
      <c r="M360" s="336"/>
    </row>
    <row r="361" spans="9:13" ht="12.75" customHeight="1">
      <c r="I361" s="336"/>
      <c r="J361" s="336"/>
      <c r="K361" s="336"/>
      <c r="L361" s="336"/>
      <c r="M361" s="336"/>
    </row>
    <row r="362" spans="9:13" ht="12.75" customHeight="1">
      <c r="I362" s="336"/>
      <c r="J362" s="336"/>
      <c r="K362" s="336"/>
      <c r="L362" s="336"/>
      <c r="M362" s="336"/>
    </row>
    <row r="363" spans="9:13" ht="12.75" customHeight="1">
      <c r="I363" s="336"/>
      <c r="J363" s="336"/>
      <c r="K363" s="336"/>
      <c r="L363" s="336"/>
      <c r="M363" s="336"/>
    </row>
    <row r="364" spans="9:13" ht="12.75" customHeight="1">
      <c r="I364" s="336"/>
      <c r="J364" s="336"/>
      <c r="K364" s="336"/>
      <c r="L364" s="336"/>
      <c r="M364" s="336"/>
    </row>
    <row r="365" spans="9:13" ht="12.75" customHeight="1">
      <c r="I365" s="336"/>
      <c r="J365" s="336"/>
      <c r="K365" s="336"/>
      <c r="L365" s="336"/>
      <c r="M365" s="336"/>
    </row>
    <row r="366" spans="9:13" ht="12.75" customHeight="1">
      <c r="I366" s="336"/>
      <c r="J366" s="336"/>
      <c r="K366" s="336"/>
      <c r="L366" s="336"/>
      <c r="M366" s="336"/>
    </row>
    <row r="367" spans="9:13" ht="12.75" customHeight="1">
      <c r="I367" s="336"/>
      <c r="J367" s="336"/>
      <c r="K367" s="336"/>
      <c r="L367" s="336"/>
      <c r="M367" s="336"/>
    </row>
    <row r="368" spans="9:13" ht="12.75" customHeight="1">
      <c r="I368" s="336"/>
      <c r="J368" s="336"/>
      <c r="K368" s="336"/>
      <c r="L368" s="336"/>
      <c r="M368" s="336"/>
    </row>
    <row r="369" spans="9:13" ht="12.75" customHeight="1">
      <c r="I369" s="336"/>
      <c r="J369" s="336"/>
      <c r="K369" s="336"/>
      <c r="L369" s="336"/>
      <c r="M369" s="336"/>
    </row>
    <row r="370" spans="9:13" ht="12.75" customHeight="1">
      <c r="I370" s="336"/>
      <c r="J370" s="336"/>
      <c r="K370" s="336"/>
      <c r="L370" s="336"/>
      <c r="M370" s="336"/>
    </row>
    <row r="371" spans="9:13" ht="12.75" customHeight="1">
      <c r="I371" s="336"/>
      <c r="J371" s="336"/>
      <c r="K371" s="336"/>
      <c r="L371" s="336"/>
      <c r="M371" s="336"/>
    </row>
    <row r="372" spans="9:13" ht="12.75" customHeight="1">
      <c r="I372" s="336"/>
      <c r="J372" s="336"/>
      <c r="K372" s="336"/>
      <c r="L372" s="336"/>
      <c r="M372" s="336"/>
    </row>
    <row r="373" spans="9:13" ht="12.75" customHeight="1">
      <c r="I373" s="336"/>
      <c r="J373" s="336"/>
      <c r="K373" s="336"/>
      <c r="L373" s="336"/>
      <c r="M373" s="336"/>
    </row>
    <row r="374" spans="9:13" ht="12.75" customHeight="1">
      <c r="I374" s="336"/>
      <c r="J374" s="336"/>
      <c r="K374" s="336"/>
      <c r="L374" s="336"/>
      <c r="M374" s="336"/>
    </row>
    <row r="375" spans="9:13" ht="12.75" customHeight="1">
      <c r="I375" s="336"/>
      <c r="J375" s="336"/>
      <c r="K375" s="336"/>
      <c r="L375" s="336"/>
      <c r="M375" s="336"/>
    </row>
    <row r="376" spans="9:13" ht="12.75" customHeight="1">
      <c r="I376" s="336"/>
      <c r="J376" s="336"/>
      <c r="K376" s="336"/>
      <c r="L376" s="336"/>
      <c r="M376" s="336"/>
    </row>
    <row r="377" spans="9:13" ht="12.75" customHeight="1">
      <c r="I377" s="336"/>
      <c r="J377" s="336"/>
      <c r="K377" s="336"/>
      <c r="L377" s="336"/>
      <c r="M377" s="336"/>
    </row>
    <row r="378" spans="9:13" ht="12.75" customHeight="1">
      <c r="I378" s="336"/>
      <c r="J378" s="336"/>
      <c r="K378" s="336"/>
      <c r="L378" s="336"/>
      <c r="M378" s="336"/>
    </row>
    <row r="379" spans="9:13" ht="12.75" customHeight="1">
      <c r="I379" s="336"/>
      <c r="J379" s="336"/>
      <c r="K379" s="336"/>
      <c r="L379" s="336"/>
      <c r="M379" s="336"/>
    </row>
    <row r="380" spans="9:13" ht="12.75" customHeight="1">
      <c r="I380" s="336"/>
      <c r="J380" s="336"/>
      <c r="K380" s="336"/>
      <c r="L380" s="336"/>
      <c r="M380" s="336"/>
    </row>
    <row r="381" spans="9:13" ht="12.75" customHeight="1">
      <c r="I381" s="336"/>
      <c r="J381" s="336"/>
      <c r="K381" s="336"/>
      <c r="L381" s="336"/>
      <c r="M381" s="336"/>
    </row>
    <row r="382" spans="9:13" ht="12.75" customHeight="1">
      <c r="I382" s="336"/>
      <c r="J382" s="336"/>
      <c r="K382" s="336"/>
      <c r="L382" s="336"/>
      <c r="M382" s="336"/>
    </row>
    <row r="383" spans="9:13" ht="12.75" customHeight="1">
      <c r="I383" s="336"/>
      <c r="J383" s="336"/>
      <c r="K383" s="336"/>
      <c r="L383" s="336"/>
      <c r="M383" s="336"/>
    </row>
    <row r="384" spans="9:13" ht="12.75" customHeight="1">
      <c r="I384" s="336"/>
      <c r="J384" s="336"/>
      <c r="K384" s="336"/>
      <c r="L384" s="336"/>
      <c r="M384" s="336"/>
    </row>
    <row r="385" spans="9:13" ht="12.75" customHeight="1">
      <c r="I385" s="336"/>
      <c r="J385" s="336"/>
      <c r="K385" s="336"/>
      <c r="L385" s="336"/>
      <c r="M385" s="336"/>
    </row>
    <row r="386" spans="9:13" ht="12.75" customHeight="1">
      <c r="I386" s="336"/>
      <c r="J386" s="336"/>
      <c r="K386" s="336"/>
      <c r="L386" s="336"/>
      <c r="M386" s="336"/>
    </row>
    <row r="387" spans="9:13" ht="12.75" customHeight="1">
      <c r="I387" s="336"/>
      <c r="J387" s="336"/>
      <c r="K387" s="336"/>
      <c r="L387" s="336"/>
      <c r="M387" s="336"/>
    </row>
    <row r="388" spans="9:13" ht="12.75" customHeight="1">
      <c r="I388" s="336"/>
      <c r="J388" s="336"/>
      <c r="K388" s="336"/>
      <c r="L388" s="336"/>
      <c r="M388" s="336"/>
    </row>
    <row r="389" spans="9:13" ht="12.75" customHeight="1">
      <c r="I389" s="336"/>
      <c r="J389" s="336"/>
      <c r="K389" s="336"/>
      <c r="L389" s="336"/>
      <c r="M389" s="336"/>
    </row>
    <row r="390" spans="9:13" ht="12.75" customHeight="1">
      <c r="I390" s="336"/>
      <c r="J390" s="336"/>
      <c r="K390" s="336"/>
      <c r="L390" s="336"/>
      <c r="M390" s="336"/>
    </row>
    <row r="391" spans="9:13" ht="12.75" customHeight="1">
      <c r="I391" s="336"/>
      <c r="J391" s="336"/>
      <c r="K391" s="336"/>
      <c r="L391" s="336"/>
      <c r="M391" s="336"/>
    </row>
    <row r="392" spans="9:13" ht="12.75" customHeight="1">
      <c r="I392" s="336"/>
      <c r="J392" s="336"/>
      <c r="K392" s="336"/>
      <c r="L392" s="336"/>
      <c r="M392" s="336"/>
    </row>
    <row r="393" spans="9:13" ht="12.75" customHeight="1">
      <c r="I393" s="336"/>
      <c r="J393" s="336"/>
      <c r="K393" s="336"/>
      <c r="L393" s="336"/>
      <c r="M393" s="336"/>
    </row>
    <row r="394" spans="9:13" ht="12.75" customHeight="1">
      <c r="I394" s="336"/>
      <c r="J394" s="336"/>
      <c r="K394" s="336"/>
      <c r="L394" s="336"/>
      <c r="M394" s="336"/>
    </row>
    <row r="395" spans="9:13" ht="12.75" customHeight="1">
      <c r="I395" s="336"/>
      <c r="J395" s="336"/>
      <c r="K395" s="336"/>
      <c r="L395" s="336"/>
      <c r="M395" s="336"/>
    </row>
    <row r="396" spans="9:13" ht="12.75" customHeight="1">
      <c r="I396" s="336"/>
      <c r="J396" s="336"/>
      <c r="K396" s="336"/>
      <c r="L396" s="336"/>
      <c r="M396" s="336"/>
    </row>
    <row r="397" spans="9:13" ht="12.75" customHeight="1">
      <c r="I397" s="336"/>
      <c r="J397" s="336"/>
      <c r="K397" s="336"/>
      <c r="L397" s="336"/>
      <c r="M397" s="336"/>
    </row>
    <row r="398" spans="9:13" ht="12.75" customHeight="1">
      <c r="I398" s="336"/>
      <c r="J398" s="336"/>
      <c r="K398" s="336"/>
      <c r="L398" s="336"/>
      <c r="M398" s="336"/>
    </row>
  </sheetData>
  <sheetProtection/>
  <mergeCells count="505">
    <mergeCell ref="A113:H113"/>
    <mergeCell ref="A114:B114"/>
    <mergeCell ref="A115:B115"/>
    <mergeCell ref="A116:B116"/>
    <mergeCell ref="A117:C117"/>
    <mergeCell ref="A118:D118"/>
    <mergeCell ref="C110:C111"/>
    <mergeCell ref="D110:D111"/>
    <mergeCell ref="E110:E111"/>
    <mergeCell ref="F110:F111"/>
    <mergeCell ref="G110:G111"/>
    <mergeCell ref="H110:H111"/>
    <mergeCell ref="C108:C109"/>
    <mergeCell ref="D108:D109"/>
    <mergeCell ref="E108:E109"/>
    <mergeCell ref="F108:F109"/>
    <mergeCell ref="G108:G109"/>
    <mergeCell ref="H108:H109"/>
    <mergeCell ref="C106:C107"/>
    <mergeCell ref="D106:D107"/>
    <mergeCell ref="E106:E107"/>
    <mergeCell ref="F106:F107"/>
    <mergeCell ref="G106:G107"/>
    <mergeCell ref="H106:H107"/>
    <mergeCell ref="C104:C105"/>
    <mergeCell ref="D104:D105"/>
    <mergeCell ref="E104:E105"/>
    <mergeCell ref="F104:F105"/>
    <mergeCell ref="G104:G105"/>
    <mergeCell ref="H104:H105"/>
    <mergeCell ref="C102:C103"/>
    <mergeCell ref="D102:D103"/>
    <mergeCell ref="E102:E103"/>
    <mergeCell ref="F102:F103"/>
    <mergeCell ref="G102:G103"/>
    <mergeCell ref="H102:H103"/>
    <mergeCell ref="C100:C101"/>
    <mergeCell ref="D100:D101"/>
    <mergeCell ref="E100:E101"/>
    <mergeCell ref="F100:F101"/>
    <mergeCell ref="G100:G101"/>
    <mergeCell ref="H100:H101"/>
    <mergeCell ref="C98:C99"/>
    <mergeCell ref="D98:D99"/>
    <mergeCell ref="E98:E99"/>
    <mergeCell ref="F98:F99"/>
    <mergeCell ref="G98:G99"/>
    <mergeCell ref="H98:H99"/>
    <mergeCell ref="C96:C97"/>
    <mergeCell ref="D96:D97"/>
    <mergeCell ref="E96:E97"/>
    <mergeCell ref="F96:F97"/>
    <mergeCell ref="G96:G97"/>
    <mergeCell ref="H96:H97"/>
    <mergeCell ref="C94:C95"/>
    <mergeCell ref="D94:D95"/>
    <mergeCell ref="E94:E95"/>
    <mergeCell ref="F94:F95"/>
    <mergeCell ref="G94:G95"/>
    <mergeCell ref="H94:H95"/>
    <mergeCell ref="C92:C93"/>
    <mergeCell ref="D92:D93"/>
    <mergeCell ref="E92:E93"/>
    <mergeCell ref="F92:F93"/>
    <mergeCell ref="G92:G93"/>
    <mergeCell ref="H92:H93"/>
    <mergeCell ref="H88:H89"/>
    <mergeCell ref="C90:C91"/>
    <mergeCell ref="D90:D91"/>
    <mergeCell ref="E90:E91"/>
    <mergeCell ref="F90:F91"/>
    <mergeCell ref="G90:G91"/>
    <mergeCell ref="H90:H91"/>
    <mergeCell ref="J79:J80"/>
    <mergeCell ref="K79:K80"/>
    <mergeCell ref="L79:L80"/>
    <mergeCell ref="M79:M80"/>
    <mergeCell ref="C85:H85"/>
    <mergeCell ref="C88:C89"/>
    <mergeCell ref="D88:D89"/>
    <mergeCell ref="E88:E89"/>
    <mergeCell ref="F88:F89"/>
    <mergeCell ref="G88:G89"/>
    <mergeCell ref="L77:L78"/>
    <mergeCell ref="M77:M78"/>
    <mergeCell ref="N78:N79"/>
    <mergeCell ref="C79:C80"/>
    <mergeCell ref="D79:D80"/>
    <mergeCell ref="E79:E80"/>
    <mergeCell ref="F79:F80"/>
    <mergeCell ref="G79:G80"/>
    <mergeCell ref="H79:H80"/>
    <mergeCell ref="I79:I80"/>
    <mergeCell ref="N76:N77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4:O75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4:N75"/>
    <mergeCell ref="J75:J76"/>
    <mergeCell ref="K75:K76"/>
    <mergeCell ref="L75:L76"/>
    <mergeCell ref="M75:M76"/>
    <mergeCell ref="N72:N73"/>
    <mergeCell ref="O72:O73"/>
    <mergeCell ref="A73:A74"/>
    <mergeCell ref="B73:B74"/>
    <mergeCell ref="C73:C74"/>
    <mergeCell ref="D73:D74"/>
    <mergeCell ref="E73:E74"/>
    <mergeCell ref="F73:F74"/>
    <mergeCell ref="G73:G74"/>
    <mergeCell ref="H73:H74"/>
    <mergeCell ref="O70:O71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I69:I70"/>
    <mergeCell ref="J69:J70"/>
    <mergeCell ref="K69:K70"/>
    <mergeCell ref="L69:L70"/>
    <mergeCell ref="M69:M70"/>
    <mergeCell ref="N70:N71"/>
    <mergeCell ref="J71:J72"/>
    <mergeCell ref="K71:K72"/>
    <mergeCell ref="L71:L72"/>
    <mergeCell ref="M71:M72"/>
    <mergeCell ref="N68:N69"/>
    <mergeCell ref="O68:O69"/>
    <mergeCell ref="A69:A70"/>
    <mergeCell ref="B69:B70"/>
    <mergeCell ref="C69:C70"/>
    <mergeCell ref="D69:D70"/>
    <mergeCell ref="E69:E70"/>
    <mergeCell ref="F69:F70"/>
    <mergeCell ref="G69:G70"/>
    <mergeCell ref="H69:H70"/>
    <mergeCell ref="O66:O6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6:N67"/>
    <mergeCell ref="J67:J68"/>
    <mergeCell ref="K67:K68"/>
    <mergeCell ref="L67:L68"/>
    <mergeCell ref="M67:M68"/>
    <mergeCell ref="N64:N65"/>
    <mergeCell ref="O64:O65"/>
    <mergeCell ref="A65:A66"/>
    <mergeCell ref="B65:B66"/>
    <mergeCell ref="C65:C66"/>
    <mergeCell ref="D65:D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M61:M62"/>
    <mergeCell ref="N62:N63"/>
    <mergeCell ref="O62:O63"/>
    <mergeCell ref="A63:A64"/>
    <mergeCell ref="B63:B64"/>
    <mergeCell ref="C63:C64"/>
    <mergeCell ref="D63:D64"/>
    <mergeCell ref="E63:E64"/>
    <mergeCell ref="F63:F64"/>
    <mergeCell ref="G63:G64"/>
    <mergeCell ref="G61:G62"/>
    <mergeCell ref="H61:H62"/>
    <mergeCell ref="I61:I62"/>
    <mergeCell ref="J61:J62"/>
    <mergeCell ref="K61:K62"/>
    <mergeCell ref="L61:L62"/>
    <mergeCell ref="J51:J52"/>
    <mergeCell ref="K51:K52"/>
    <mergeCell ref="L51:L52"/>
    <mergeCell ref="M51:M52"/>
    <mergeCell ref="A61:A62"/>
    <mergeCell ref="B61:B62"/>
    <mergeCell ref="C61:C62"/>
    <mergeCell ref="D61:D62"/>
    <mergeCell ref="E61:E62"/>
    <mergeCell ref="F61:F62"/>
    <mergeCell ref="L49:L50"/>
    <mergeCell ref="M49:M50"/>
    <mergeCell ref="N50:N51"/>
    <mergeCell ref="C51:C52"/>
    <mergeCell ref="D51:D52"/>
    <mergeCell ref="E51:E52"/>
    <mergeCell ref="F51:F52"/>
    <mergeCell ref="G51:G52"/>
    <mergeCell ref="H51:H52"/>
    <mergeCell ref="I51:I52"/>
    <mergeCell ref="N48:N49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O46:O47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5:I46"/>
    <mergeCell ref="J45:J46"/>
    <mergeCell ref="K45:K46"/>
    <mergeCell ref="L45:L46"/>
    <mergeCell ref="M45:M46"/>
    <mergeCell ref="N46:N47"/>
    <mergeCell ref="J47:J48"/>
    <mergeCell ref="K47:K48"/>
    <mergeCell ref="L47:L48"/>
    <mergeCell ref="M47:M48"/>
    <mergeCell ref="N44:N45"/>
    <mergeCell ref="O44:O45"/>
    <mergeCell ref="A45:A46"/>
    <mergeCell ref="B45:B46"/>
    <mergeCell ref="C45:C46"/>
    <mergeCell ref="D45:D46"/>
    <mergeCell ref="E45:E46"/>
    <mergeCell ref="F45:F46"/>
    <mergeCell ref="G45:G46"/>
    <mergeCell ref="H45:H46"/>
    <mergeCell ref="O42:O43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I41:I42"/>
    <mergeCell ref="J41:J42"/>
    <mergeCell ref="K41:K42"/>
    <mergeCell ref="L41:L42"/>
    <mergeCell ref="M41:M42"/>
    <mergeCell ref="N42:N43"/>
    <mergeCell ref="J43:J44"/>
    <mergeCell ref="K43:K44"/>
    <mergeCell ref="L43:L44"/>
    <mergeCell ref="M43:M44"/>
    <mergeCell ref="N40:N41"/>
    <mergeCell ref="O40:O41"/>
    <mergeCell ref="A41:A42"/>
    <mergeCell ref="B41:B42"/>
    <mergeCell ref="C41:C42"/>
    <mergeCell ref="D41:D42"/>
    <mergeCell ref="E41:E42"/>
    <mergeCell ref="F41:F42"/>
    <mergeCell ref="G41:G42"/>
    <mergeCell ref="H41:H42"/>
    <mergeCell ref="O38:O39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I37:I38"/>
    <mergeCell ref="J37:J38"/>
    <mergeCell ref="K37:K38"/>
    <mergeCell ref="L37:L38"/>
    <mergeCell ref="M37:M38"/>
    <mergeCell ref="N38:N39"/>
    <mergeCell ref="J39:J40"/>
    <mergeCell ref="K39:K40"/>
    <mergeCell ref="L39:L40"/>
    <mergeCell ref="M39:M40"/>
    <mergeCell ref="N36:N37"/>
    <mergeCell ref="O36:O37"/>
    <mergeCell ref="A37:A38"/>
    <mergeCell ref="B37:B38"/>
    <mergeCell ref="C37:C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M33:M34"/>
    <mergeCell ref="N34:N35"/>
    <mergeCell ref="O34:O35"/>
    <mergeCell ref="A35:A36"/>
    <mergeCell ref="B35:B36"/>
    <mergeCell ref="C35:C36"/>
    <mergeCell ref="D35:D36"/>
    <mergeCell ref="E35:E36"/>
    <mergeCell ref="F35:F36"/>
    <mergeCell ref="G35:G36"/>
    <mergeCell ref="G33:G34"/>
    <mergeCell ref="H33:H34"/>
    <mergeCell ref="I33:I34"/>
    <mergeCell ref="J33:J34"/>
    <mergeCell ref="K33:K34"/>
    <mergeCell ref="L33:L34"/>
    <mergeCell ref="J23:J24"/>
    <mergeCell ref="K23:K24"/>
    <mergeCell ref="L23:L24"/>
    <mergeCell ref="M23:M24"/>
    <mergeCell ref="A33:A34"/>
    <mergeCell ref="B33:B34"/>
    <mergeCell ref="C33:C34"/>
    <mergeCell ref="D33:D34"/>
    <mergeCell ref="E33:E34"/>
    <mergeCell ref="F33:F34"/>
    <mergeCell ref="L21:L22"/>
    <mergeCell ref="M21:M22"/>
    <mergeCell ref="N22:N23"/>
    <mergeCell ref="C23:C24"/>
    <mergeCell ref="D23:D24"/>
    <mergeCell ref="E23:E24"/>
    <mergeCell ref="F23:F24"/>
    <mergeCell ref="G23:G24"/>
    <mergeCell ref="H23:H24"/>
    <mergeCell ref="I23:I24"/>
    <mergeCell ref="N20:N21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18:O1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M17:M18"/>
    <mergeCell ref="N18:N19"/>
    <mergeCell ref="J19:J20"/>
    <mergeCell ref="K19:K20"/>
    <mergeCell ref="L19:L20"/>
    <mergeCell ref="M19:M20"/>
    <mergeCell ref="N16:N17"/>
    <mergeCell ref="O16:O17"/>
    <mergeCell ref="A17:A18"/>
    <mergeCell ref="B17:B18"/>
    <mergeCell ref="C17:C18"/>
    <mergeCell ref="D17:D18"/>
    <mergeCell ref="E17:E18"/>
    <mergeCell ref="F17:F18"/>
    <mergeCell ref="G17:G18"/>
    <mergeCell ref="H17:H18"/>
    <mergeCell ref="O14:O1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4:N15"/>
    <mergeCell ref="J15:J16"/>
    <mergeCell ref="K15:K16"/>
    <mergeCell ref="L15:L16"/>
    <mergeCell ref="M15:M16"/>
    <mergeCell ref="N12:N13"/>
    <mergeCell ref="O12:O13"/>
    <mergeCell ref="A13:A14"/>
    <mergeCell ref="B13:B14"/>
    <mergeCell ref="C13:C14"/>
    <mergeCell ref="D13:D14"/>
    <mergeCell ref="E13:E14"/>
    <mergeCell ref="F13:F14"/>
    <mergeCell ref="G13:G14"/>
    <mergeCell ref="H13:H14"/>
    <mergeCell ref="O10:O1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I9:I10"/>
    <mergeCell ref="J9:J10"/>
    <mergeCell ref="K9:K10"/>
    <mergeCell ref="L9:L10"/>
    <mergeCell ref="M9:M10"/>
    <mergeCell ref="N10:N11"/>
    <mergeCell ref="J11:J12"/>
    <mergeCell ref="K11:K12"/>
    <mergeCell ref="L11:L12"/>
    <mergeCell ref="M11:M12"/>
    <mergeCell ref="N8:N9"/>
    <mergeCell ref="O8:O9"/>
    <mergeCell ref="A9:A10"/>
    <mergeCell ref="B9:B10"/>
    <mergeCell ref="C9:C10"/>
    <mergeCell ref="D9:D10"/>
    <mergeCell ref="E9:E10"/>
    <mergeCell ref="F9:F10"/>
    <mergeCell ref="G9:G10"/>
    <mergeCell ref="H9:H10"/>
    <mergeCell ref="H7:H8"/>
    <mergeCell ref="I7:I8"/>
    <mergeCell ref="J7:J8"/>
    <mergeCell ref="K7:K8"/>
    <mergeCell ref="L7:L8"/>
    <mergeCell ref="M7:M8"/>
    <mergeCell ref="M5:M6"/>
    <mergeCell ref="N6:N7"/>
    <mergeCell ref="O6:O7"/>
    <mergeCell ref="A7:A8"/>
    <mergeCell ref="B7:B8"/>
    <mergeCell ref="C7:C8"/>
    <mergeCell ref="D7:D8"/>
    <mergeCell ref="E7:E8"/>
    <mergeCell ref="F7:F8"/>
    <mergeCell ref="G7:G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" footer="0"/>
  <pageSetup fitToHeight="1" fitToWidth="1" horizontalDpi="300" verticalDpi="300" orientation="portrait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140" zoomScaleNormal="140" zoomScalePageLayoutView="0" workbookViewId="0" topLeftCell="A1">
      <selection activeCell="G20" sqref="G20"/>
    </sheetView>
  </sheetViews>
  <sheetFormatPr defaultColWidth="9.140625" defaultRowHeight="12.75"/>
  <cols>
    <col min="1" max="2" width="8.8515625" style="249" customWidth="1"/>
    <col min="3" max="3" width="14.7109375" style="249" customWidth="1"/>
    <col min="4" max="4" width="13.421875" style="249" customWidth="1"/>
    <col min="5" max="5" width="16.8515625" style="249" hidden="1" customWidth="1"/>
    <col min="6" max="6" width="16.28125" style="249" customWidth="1"/>
    <col min="7" max="7" width="13.8515625" style="249" customWidth="1"/>
    <col min="8" max="8" width="10.8515625" style="249" bestFit="1" customWidth="1"/>
    <col min="9" max="9" width="15.140625" style="249" bestFit="1" customWidth="1"/>
    <col min="10" max="10" width="12.421875" style="249" customWidth="1"/>
    <col min="11" max="11" width="12.140625" style="249" customWidth="1"/>
    <col min="12" max="16384" width="8.8515625" style="249" customWidth="1"/>
  </cols>
  <sheetData>
    <row r="1" spans="1:9" ht="27" thickBot="1">
      <c r="A1" s="349"/>
      <c r="B1" s="349" t="s">
        <v>190</v>
      </c>
      <c r="C1" s="350" t="str">
        <f>'opg 1.2 Prisoptimering'!N4</f>
        <v>Differensbidrag pr. time</v>
      </c>
      <c r="D1" s="350" t="s">
        <v>191</v>
      </c>
      <c r="E1" s="351" t="s">
        <v>211</v>
      </c>
      <c r="F1" s="349" t="s">
        <v>212</v>
      </c>
      <c r="G1" s="349" t="s">
        <v>190</v>
      </c>
      <c r="H1" s="352" t="str">
        <f>D1</f>
        <v>Ekstra timeforbrug</v>
      </c>
      <c r="I1" s="353" t="s">
        <v>213</v>
      </c>
    </row>
    <row r="2" spans="1:9" ht="12.75">
      <c r="A2" s="354">
        <v>1</v>
      </c>
      <c r="B2" s="355" t="str">
        <f>CONCATENATE(1," ",'opg 1.2 Prisoptimering'!$D$2)</f>
        <v>1 DK</v>
      </c>
      <c r="C2" s="356">
        <f>'opg 1.2 Prisoptimering'!N5</f>
        <v>1300</v>
      </c>
      <c r="D2" s="357">
        <f>'opg 1.2 Prisoptimering'!O5</f>
        <v>1000</v>
      </c>
      <c r="E2" s="358">
        <f aca="true" t="shared" si="0" ref="E2:E25">SMALL($C$2:$C$25,A2)</f>
        <v>0</v>
      </c>
      <c r="F2" s="359">
        <f aca="true" t="shared" si="1" ref="F2:F25">LARGE($E$2:$E$25,A2)</f>
        <v>1300</v>
      </c>
      <c r="G2" s="354" t="str">
        <f>IF(F2=C2,B2,IF(F2=C10,B10,IF(F2=C18,B18)))</f>
        <v>1 DK</v>
      </c>
      <c r="H2" s="360">
        <f>IF(G2=$B$2,$D$2,IF(G2=$B$10,$D$10,IF(G2=$B$18,$D$18)))</f>
        <v>1000</v>
      </c>
      <c r="I2" s="361">
        <f>H2</f>
        <v>1000</v>
      </c>
    </row>
    <row r="3" spans="1:9" ht="12.75">
      <c r="A3" s="362">
        <f aca="true" t="shared" si="2" ref="A3:A25">A2+1</f>
        <v>2</v>
      </c>
      <c r="B3" s="363" t="str">
        <f>CONCATENATE(2," ",'opg 1.2 Prisoptimering'!$D$2)</f>
        <v>2 DK</v>
      </c>
      <c r="C3" s="364">
        <f>'opg 1.2 Prisoptimering'!N6</f>
        <v>1100</v>
      </c>
      <c r="D3" s="365">
        <f>'opg 1.2 Prisoptimering'!O6</f>
        <v>1000</v>
      </c>
      <c r="E3" s="366">
        <f t="shared" si="0"/>
        <v>0</v>
      </c>
      <c r="F3" s="367">
        <f t="shared" si="1"/>
        <v>1100</v>
      </c>
      <c r="G3" s="362" t="str">
        <f>IF(F3=$C$2,$B$2,IF(F3=$C$3,$B$3,IF(F3=$C$10,$B$10,IF(F3=$C$11,$B$11,IF(F3=$C$18,$B$18,IF(F3=$C$19,$B$19))))))</f>
        <v>2 DK</v>
      </c>
      <c r="H3" s="105">
        <f>IF(G3=$B$2,$D$2,IF(G3=$B$10,$D$10,IF(G3=$B$18,$D$18,IF(G3=$B$3,$D$3,IF(G3=$B$11,$D$11,IF(G3=$B$19,$D$19,IF(G3=$B$4,$D$4,IF(G3=$B$12,$D$12))))))))</f>
        <v>1000</v>
      </c>
      <c r="I3" s="361">
        <f>H3+I2</f>
        <v>2000</v>
      </c>
    </row>
    <row r="4" spans="1:9" ht="12.75">
      <c r="A4" s="362">
        <f t="shared" si="2"/>
        <v>3</v>
      </c>
      <c r="B4" s="363" t="str">
        <f>CONCATENATE(3," ",'opg 1.2 Prisoptimering'!$D$2)</f>
        <v>3 DK</v>
      </c>
      <c r="C4" s="364">
        <f>'opg 1.2 Prisoptimering'!N8</f>
        <v>900</v>
      </c>
      <c r="D4" s="365">
        <f>'opg 1.2 Prisoptimering'!O8</f>
        <v>1000</v>
      </c>
      <c r="E4" s="366">
        <f t="shared" si="0"/>
        <v>0</v>
      </c>
      <c r="F4" s="367">
        <f t="shared" si="1"/>
        <v>950</v>
      </c>
      <c r="G4" s="362" t="str">
        <f>IF(F4=$C$2,$B$2,IF(F4=$C$3,$B$3,IF(F4=$C$10,$B$10,IF(F4=$C$11,$B$11,IF(F4=$C$18,$B$18,IF(F4=$C$19,$B$19,IF(F4=$C$4,$B$4,IF(F4=$C$12,$B$12,))))))))</f>
        <v>1 Tysk</v>
      </c>
      <c r="H4" s="105">
        <f>IF(G4=$B$2,$D$2,IF(G4=$B$10,$D$10,IF(G4=$B$18,$D$18,IF(G4=$B$3,$D$3,IF(G4=$B$11,$D$11,IF(G4=$B$19,$D$19,IF(G4=$B$4,$D$4,IF(G4=$B$12,$D$12))))))))</f>
        <v>1000</v>
      </c>
      <c r="I4" s="361">
        <f aca="true" t="shared" si="3" ref="I4:I12">H4+I3</f>
        <v>3000</v>
      </c>
    </row>
    <row r="5" spans="1:9" ht="12.75">
      <c r="A5" s="362">
        <f t="shared" si="2"/>
        <v>4</v>
      </c>
      <c r="B5" s="363" t="str">
        <f>CONCATENATE(4," ",'opg 1.2 Prisoptimering'!$D$2)</f>
        <v>4 DK</v>
      </c>
      <c r="C5" s="364">
        <f>'opg 1.2 Prisoptimering'!N10</f>
        <v>700</v>
      </c>
      <c r="D5" s="365">
        <f>'opg 1.2 Prisoptimering'!O10</f>
        <v>1000</v>
      </c>
      <c r="E5" s="366">
        <f t="shared" si="0"/>
        <v>0</v>
      </c>
      <c r="F5" s="367">
        <f t="shared" si="1"/>
        <v>900</v>
      </c>
      <c r="G5" s="362" t="str">
        <f>IF(F5=$C$2,$B$2,IF(F5=$C$3,$B$3,IF(F5=$C$10,$B$10,IF(F5=$C$11,$B$11,IF(F5=$C$18,$B$18,IF(F5=$C$19,$B$19,IF(F5=$C$4,$B$4,IF(F5=$C$12,$B$12,))))))))</f>
        <v>3 DK</v>
      </c>
      <c r="H5" s="105">
        <f>IF(G5=$B$2,$D$2,IF(G5=$B$10,$D$10,IF(G5=$B$18,$D$18,IF(G5=$B$3,$D$3,IF(G5=$B$11,$D$11,IF(G5=$B$19,$D$19,IF(G5=$B$4,$D$4,IF(G5=$B$12,$D$12))))))))</f>
        <v>1000</v>
      </c>
      <c r="I5" s="361">
        <f t="shared" si="3"/>
        <v>4000</v>
      </c>
    </row>
    <row r="6" spans="1:9" ht="12.75">
      <c r="A6" s="362">
        <f t="shared" si="2"/>
        <v>5</v>
      </c>
      <c r="B6" s="363" t="str">
        <f>CONCATENATE(5," ",'opg 1.2 Prisoptimering'!$D$2)</f>
        <v>5 DK</v>
      </c>
      <c r="C6" s="364">
        <f>'opg 1.2 Prisoptimering'!N12</f>
        <v>500</v>
      </c>
      <c r="D6" s="365">
        <f>'opg 1.2 Prisoptimering'!O12</f>
        <v>1000</v>
      </c>
      <c r="E6" s="366">
        <f t="shared" si="0"/>
        <v>0</v>
      </c>
      <c r="F6" s="367">
        <f t="shared" si="1"/>
        <v>850</v>
      </c>
      <c r="G6" s="362" t="str">
        <f>IF(F6=$C$2,$B$2,IF(F6=$C$3,$B$3,IF(F6=$C$10,$B$10,IF(F6=$C$11,$B$11,IF(F6=$C$18,$B$18,IF(F6=$C$19,$B$19,IF(F6=$C$4,$B$4,IF(F6=$C$12,$B$12,))))))))</f>
        <v>2 Tysk</v>
      </c>
      <c r="H6" s="105">
        <f>IF(G6=$B$2,$D$2,IF(G6=$B$10,$D$10,IF(G6=$B$18,$D$18,IF(G6=$B$3,$D$3,IF(G6=$B$11,$D$11,IF(G6=$B$19,$D$19,IF(G6=$B$4,$D$4,IF(G6=$B$12,$D$12))))))))</f>
        <v>1000</v>
      </c>
      <c r="I6" s="361">
        <f t="shared" si="3"/>
        <v>5000</v>
      </c>
    </row>
    <row r="7" spans="1:9" ht="12.75">
      <c r="A7" s="362">
        <f t="shared" si="2"/>
        <v>6</v>
      </c>
      <c r="B7" s="363" t="str">
        <f>CONCATENATE(6," ",'opg 1.2 Prisoptimering'!$D$2)</f>
        <v>6 DK</v>
      </c>
      <c r="C7" s="364">
        <f>'opg 1.2 Prisoptimering'!N14</f>
        <v>300</v>
      </c>
      <c r="D7" s="365">
        <f>'opg 1.2 Prisoptimering'!O14</f>
        <v>1000</v>
      </c>
      <c r="E7" s="366">
        <f t="shared" si="0"/>
        <v>0</v>
      </c>
      <c r="F7" s="367">
        <f>LARGE($E$2:$E$25,A7)</f>
        <v>750</v>
      </c>
      <c r="G7" s="362" t="str">
        <f>IF(F7=$C$2,$B$2,IF(F7=$C$3,$B$3,IF(F7=$C$10,$B$10,IF(F7=$C$11,$B$11,IF(F7=$C$18,$B$18,IF(F7=$C$19,$B$19,IF(F7=$C$4,$B$4,IF(F7=$C$12,$B$12,))))))))</f>
        <v>3 Tysk</v>
      </c>
      <c r="H7" s="105">
        <f>IF(G7=$B$2,$D$2,IF(G7=$B$10,$D$10,IF(G7=$B$18,$D$18,IF(G7=$B$3,$D$3,IF(G7=$B$11,$D$11,IF(G7=$B$19,$D$19,IF(G7=$B$4,$D$4,IF(G7=$B$12,$D$12))))))))</f>
        <v>1000</v>
      </c>
      <c r="I7" s="361">
        <f t="shared" si="3"/>
        <v>6000</v>
      </c>
    </row>
    <row r="8" spans="1:9" ht="12.75">
      <c r="A8" s="362">
        <f t="shared" si="2"/>
        <v>7</v>
      </c>
      <c r="B8" s="363" t="str">
        <f>CONCATENATE(7," ",'opg 1.2 Prisoptimering'!$D$2)</f>
        <v>7 DK</v>
      </c>
      <c r="C8" s="364">
        <f>'opg 1.2 Prisoptimering'!N16</f>
        <v>0</v>
      </c>
      <c r="D8" s="365">
        <f>'opg 1.2 Prisoptimering'!O16</f>
        <v>0</v>
      </c>
      <c r="E8" s="366">
        <f t="shared" si="0"/>
        <v>0</v>
      </c>
      <c r="F8" s="367">
        <f t="shared" si="1"/>
        <v>700</v>
      </c>
      <c r="G8" s="362" t="str">
        <f>B5</f>
        <v>4 DK</v>
      </c>
      <c r="H8" s="105">
        <v>1000</v>
      </c>
      <c r="I8" s="361">
        <f t="shared" si="3"/>
        <v>7000</v>
      </c>
    </row>
    <row r="9" spans="1:9" ht="13.5" thickBot="1">
      <c r="A9" s="362">
        <f t="shared" si="2"/>
        <v>8</v>
      </c>
      <c r="B9" s="363" t="str">
        <f>CONCATENATE(7," ",'opg 1.2 Prisoptimering'!$D$2)</f>
        <v>7 DK</v>
      </c>
      <c r="C9" s="364">
        <f>'opg 1.2 Prisoptimering'!N18</f>
        <v>0</v>
      </c>
      <c r="D9" s="365">
        <f>'opg 1.2 Prisoptimering'!O18</f>
        <v>0</v>
      </c>
      <c r="E9" s="366">
        <f t="shared" si="0"/>
        <v>0</v>
      </c>
      <c r="F9" s="367">
        <f t="shared" si="1"/>
        <v>650</v>
      </c>
      <c r="G9" s="362" t="str">
        <f>IF(F9=$C$5,$B$5,IF(F9=$C$3,$B$3,IF(F9=$C$13,$B$13,IF(F9=$C$11,$B$11,IF(F9=$C$19,$B$19,IF(F9=$C$20,$B$20,IF(F9=$C$4,$B$4,IF(F9=$C$12,$B$12,))))))))</f>
        <v>4 Tysk</v>
      </c>
      <c r="H9" s="105">
        <f>IF(G9=$B$5,$D$5,IF(G9=$B$13,$D$13,IF(G9=$B$20,$D$20,IF(G9=$B$3,$D$3,IF(G9=$B$11,$D$11,IF(G9=$B$19,$D$19,IF(G9=$B$4,$D$4,IF(G9=$B$12,$D$12))))))))</f>
        <v>1000</v>
      </c>
      <c r="I9" s="361">
        <f t="shared" si="3"/>
        <v>8000</v>
      </c>
    </row>
    <row r="10" spans="1:9" ht="12.75">
      <c r="A10" s="354">
        <f t="shared" si="2"/>
        <v>9</v>
      </c>
      <c r="B10" s="355" t="str">
        <f>CONCATENATE(1," ",'opg 1.2 Prisoptimering'!$D$30)</f>
        <v>1 Tysk</v>
      </c>
      <c r="C10" s="356">
        <f>'opg 1.2 Prisoptimering'!N33</f>
        <v>950</v>
      </c>
      <c r="D10" s="357">
        <f>'opg 1.2 Prisoptimering'!O33</f>
        <v>1000</v>
      </c>
      <c r="E10" s="358">
        <f t="shared" si="0"/>
        <v>0</v>
      </c>
      <c r="F10" s="359">
        <f t="shared" si="1"/>
        <v>550</v>
      </c>
      <c r="G10" s="363" t="str">
        <f>B14</f>
        <v>5 Tysk</v>
      </c>
      <c r="H10" s="105">
        <v>1000</v>
      </c>
      <c r="I10" s="361">
        <f t="shared" si="3"/>
        <v>9000</v>
      </c>
    </row>
    <row r="11" spans="1:9" ht="12.75">
      <c r="A11" s="362">
        <f t="shared" si="2"/>
        <v>10</v>
      </c>
      <c r="B11" s="363" t="str">
        <f>CONCATENATE(2," ",'opg 1.2 Prisoptimering'!$D$30)</f>
        <v>2 Tysk</v>
      </c>
      <c r="C11" s="364">
        <f>'opg 1.2 Prisoptimering'!N34</f>
        <v>850</v>
      </c>
      <c r="D11" s="365">
        <f>'opg 1.2 Prisoptimering'!O34</f>
        <v>1000</v>
      </c>
      <c r="E11" s="366">
        <f t="shared" si="0"/>
        <v>0</v>
      </c>
      <c r="F11" s="367">
        <f t="shared" si="1"/>
        <v>500</v>
      </c>
      <c r="G11" s="363" t="str">
        <f>B6</f>
        <v>5 DK</v>
      </c>
      <c r="H11" s="105">
        <v>1000</v>
      </c>
      <c r="I11" s="361">
        <f t="shared" si="3"/>
        <v>10000</v>
      </c>
    </row>
    <row r="12" spans="1:9" ht="12.75">
      <c r="A12" s="362">
        <f t="shared" si="2"/>
        <v>11</v>
      </c>
      <c r="B12" s="363" t="str">
        <f>CONCATENATE(3," ",'opg 1.2 Prisoptimering'!$D$30)</f>
        <v>3 Tysk</v>
      </c>
      <c r="C12" s="364">
        <f>'opg 1.2 Prisoptimering'!N36</f>
        <v>750</v>
      </c>
      <c r="D12" s="365">
        <f>'opg 1.2 Prisoptimering'!O36</f>
        <v>1000</v>
      </c>
      <c r="E12" s="366">
        <f t="shared" si="0"/>
        <v>0</v>
      </c>
      <c r="F12" s="367">
        <f t="shared" si="1"/>
        <v>450</v>
      </c>
      <c r="G12" s="363" t="str">
        <f>B15</f>
        <v>6 Tysk</v>
      </c>
      <c r="H12" s="105">
        <v>1000</v>
      </c>
      <c r="I12" s="361">
        <f t="shared" si="3"/>
        <v>11000</v>
      </c>
    </row>
    <row r="13" spans="1:9" ht="13.5" thickBot="1">
      <c r="A13" s="362">
        <f t="shared" si="2"/>
        <v>12</v>
      </c>
      <c r="B13" s="363" t="str">
        <f>CONCATENATE(4," ",'opg 1.2 Prisoptimering'!$D$30)</f>
        <v>4 Tysk</v>
      </c>
      <c r="C13" s="364">
        <f>'opg 1.2 Prisoptimering'!N38</f>
        <v>650</v>
      </c>
      <c r="D13" s="365">
        <f>'opg 1.2 Prisoptimering'!O38</f>
        <v>1000</v>
      </c>
      <c r="E13" s="366">
        <f t="shared" si="0"/>
        <v>300</v>
      </c>
      <c r="F13" s="274">
        <f t="shared" si="1"/>
        <v>350</v>
      </c>
      <c r="G13" s="368" t="str">
        <f>IF(F13=$C$5,$B$5,IF(F13=$C$6,$B$6,IF(F13=$C$13,$B$13,IF(F13=$C$14,$B$14,IF(F13=$C$21,$B$21,IF(F13=$C$20,$B$20,IF(F13=$C$4,$B$4,IF(F13=$C$12,$B$12,"-"))))))))</f>
        <v>-</v>
      </c>
      <c r="H13" s="369" t="str">
        <f>IF(G13=$B$5,$D$5,IF(G13=$B$13,$D$13,IF(G13=$B$20,$D$20,IF(G13=$B$3,$D$3,IF(G13=$B$11,$D$11,IF(G13=$B$19,$D$19,IF(G13=$B$4,$D$4,IF(G13=$B$12,$D$12,"-"))))))))</f>
        <v>-</v>
      </c>
      <c r="I13" s="377"/>
    </row>
    <row r="14" spans="1:6" ht="12.75">
      <c r="A14" s="362">
        <f t="shared" si="2"/>
        <v>13</v>
      </c>
      <c r="B14" s="363" t="str">
        <f>CONCATENATE(5," ",'opg 1.2 Prisoptimering'!$D$30)</f>
        <v>5 Tysk</v>
      </c>
      <c r="C14" s="364">
        <f>'opg 1.2 Prisoptimering'!N40</f>
        <v>550</v>
      </c>
      <c r="D14" s="365">
        <f>'opg 1.2 Prisoptimering'!O40</f>
        <v>1000</v>
      </c>
      <c r="E14" s="366">
        <f t="shared" si="0"/>
        <v>350</v>
      </c>
      <c r="F14" s="367">
        <f t="shared" si="1"/>
        <v>300</v>
      </c>
    </row>
    <row r="15" spans="1:6" ht="12.75">
      <c r="A15" s="362">
        <f t="shared" si="2"/>
        <v>14</v>
      </c>
      <c r="B15" s="363" t="str">
        <f>CONCATENATE(6," ",'opg 1.2 Prisoptimering'!$D$30)</f>
        <v>6 Tysk</v>
      </c>
      <c r="C15" s="364">
        <f>'opg 1.2 Prisoptimering'!N42</f>
        <v>450</v>
      </c>
      <c r="D15" s="365">
        <f>'opg 1.2 Prisoptimering'!O42</f>
        <v>1000</v>
      </c>
      <c r="E15" s="366">
        <f t="shared" si="0"/>
        <v>450</v>
      </c>
      <c r="F15" s="367">
        <f t="shared" si="1"/>
        <v>0</v>
      </c>
    </row>
    <row r="16" spans="1:6" ht="12.75">
      <c r="A16" s="362">
        <f t="shared" si="2"/>
        <v>15</v>
      </c>
      <c r="B16" s="363" t="str">
        <f>CONCATENATE(7," ",'opg 1.2 Prisoptimering'!$D$30)</f>
        <v>7 Tysk</v>
      </c>
      <c r="C16" s="364">
        <f>'opg 1.2 Prisoptimering'!N44</f>
        <v>350</v>
      </c>
      <c r="D16" s="365">
        <f>'opg 1.2 Prisoptimering'!O44</f>
        <v>1000</v>
      </c>
      <c r="E16" s="366">
        <f t="shared" si="0"/>
        <v>500</v>
      </c>
      <c r="F16" s="367">
        <f t="shared" si="1"/>
        <v>0</v>
      </c>
    </row>
    <row r="17" spans="1:6" ht="13.5" thickBot="1">
      <c r="A17" s="362">
        <f t="shared" si="2"/>
        <v>16</v>
      </c>
      <c r="B17" s="363" t="str">
        <f>CONCATENATE(8," ",'opg 1.2 Prisoptimering'!$D$30)</f>
        <v>8 Tysk</v>
      </c>
      <c r="C17" s="364">
        <f>'opg 1.2 Prisoptimering'!N46</f>
        <v>0</v>
      </c>
      <c r="D17" s="365">
        <f>'opg 1.2 Prisoptimering'!O46</f>
        <v>0</v>
      </c>
      <c r="E17" s="366">
        <f t="shared" si="0"/>
        <v>550</v>
      </c>
      <c r="F17" s="274">
        <f t="shared" si="1"/>
        <v>0</v>
      </c>
    </row>
    <row r="18" spans="1:6" ht="12.75">
      <c r="A18" s="354">
        <f t="shared" si="2"/>
        <v>17</v>
      </c>
      <c r="B18" s="355" t="str">
        <f>CONCATENATE(1," ",'opg 1.2 Prisoptimering'!$D$58)</f>
        <v>1 -</v>
      </c>
      <c r="C18" s="356">
        <f>'opg 1.2 Prisoptimering'!N61</f>
        <v>0</v>
      </c>
      <c r="D18" s="357">
        <f>'opg 1.2 Prisoptimering'!O61</f>
        <v>0</v>
      </c>
      <c r="E18" s="358">
        <f t="shared" si="0"/>
        <v>650</v>
      </c>
      <c r="F18" s="105">
        <f t="shared" si="1"/>
        <v>0</v>
      </c>
    </row>
    <row r="19" spans="1:6" ht="12.75">
      <c r="A19" s="362">
        <f t="shared" si="2"/>
        <v>18</v>
      </c>
      <c r="B19" s="363" t="str">
        <f>CONCATENATE(2," ",'opg 1.2 Prisoptimering'!$D$58)</f>
        <v>2 -</v>
      </c>
      <c r="C19" s="364">
        <f>'opg 1.2 Prisoptimering'!N62</f>
        <v>0</v>
      </c>
      <c r="D19" s="365">
        <f>'opg 1.2 Prisoptimering'!O62</f>
        <v>0</v>
      </c>
      <c r="E19" s="366">
        <f t="shared" si="0"/>
        <v>700</v>
      </c>
      <c r="F19" s="105">
        <f t="shared" si="1"/>
        <v>0</v>
      </c>
    </row>
    <row r="20" spans="1:6" ht="12.75">
      <c r="A20" s="362">
        <f t="shared" si="2"/>
        <v>19</v>
      </c>
      <c r="B20" s="363" t="str">
        <f>CONCATENATE(3," ",'opg 1.2 Prisoptimering'!$D$58)</f>
        <v>3 -</v>
      </c>
      <c r="C20" s="364">
        <f>'opg 1.2 Prisoptimering'!N64</f>
        <v>0</v>
      </c>
      <c r="D20" s="365">
        <f>'opg 1.2 Prisoptimering'!O64</f>
        <v>0</v>
      </c>
      <c r="E20" s="366">
        <f t="shared" si="0"/>
        <v>750</v>
      </c>
      <c r="F20" s="105">
        <f t="shared" si="1"/>
        <v>0</v>
      </c>
    </row>
    <row r="21" spans="1:6" ht="12.75">
      <c r="A21" s="362">
        <f t="shared" si="2"/>
        <v>20</v>
      </c>
      <c r="B21" s="363" t="str">
        <f>CONCATENATE(4," ",'opg 1.2 Prisoptimering'!$D$58)</f>
        <v>4 -</v>
      </c>
      <c r="C21" s="364">
        <f>'opg 1.2 Prisoptimering'!N66</f>
        <v>0</v>
      </c>
      <c r="D21" s="365">
        <f>'opg 1.2 Prisoptimering'!O66</f>
        <v>0</v>
      </c>
      <c r="E21" s="366">
        <f t="shared" si="0"/>
        <v>850</v>
      </c>
      <c r="F21" s="105">
        <f t="shared" si="1"/>
        <v>0</v>
      </c>
    </row>
    <row r="22" spans="1:6" ht="12.75">
      <c r="A22" s="362">
        <f t="shared" si="2"/>
        <v>21</v>
      </c>
      <c r="B22" s="363" t="str">
        <f>CONCATENATE(5," ",'opg 1.2 Prisoptimering'!$D$58)</f>
        <v>5 -</v>
      </c>
      <c r="C22" s="364">
        <f>'opg 1.2 Prisoptimering'!N68</f>
        <v>0</v>
      </c>
      <c r="D22" s="365">
        <f>'opg 1.2 Prisoptimering'!O68</f>
        <v>0</v>
      </c>
      <c r="E22" s="366">
        <f t="shared" si="0"/>
        <v>900</v>
      </c>
      <c r="F22" s="105">
        <f t="shared" si="1"/>
        <v>0</v>
      </c>
    </row>
    <row r="23" spans="1:6" ht="12.75">
      <c r="A23" s="362">
        <f t="shared" si="2"/>
        <v>22</v>
      </c>
      <c r="B23" s="363" t="str">
        <f>CONCATENATE(6," ",'opg 1.2 Prisoptimering'!$D$58)</f>
        <v>6 -</v>
      </c>
      <c r="C23" s="364">
        <f>'opg 1.2 Prisoptimering'!N70</f>
        <v>0</v>
      </c>
      <c r="D23" s="365">
        <f>'opg 1.2 Prisoptimering'!O70</f>
        <v>0</v>
      </c>
      <c r="E23" s="366">
        <f t="shared" si="0"/>
        <v>950</v>
      </c>
      <c r="F23" s="105">
        <f t="shared" si="1"/>
        <v>0</v>
      </c>
    </row>
    <row r="24" spans="1:6" ht="12.75">
      <c r="A24" s="362">
        <f t="shared" si="2"/>
        <v>23</v>
      </c>
      <c r="B24" s="363" t="str">
        <f>CONCATENATE(7," ",'opg 1.2 Prisoptimering'!$D$58)</f>
        <v>7 -</v>
      </c>
      <c r="C24" s="364">
        <f>'opg 1.2 Prisoptimering'!N72</f>
        <v>0</v>
      </c>
      <c r="D24" s="365">
        <f>'opg 1.2 Prisoptimering'!O72</f>
        <v>0</v>
      </c>
      <c r="E24" s="366">
        <f t="shared" si="0"/>
        <v>1100</v>
      </c>
      <c r="F24" s="105">
        <f t="shared" si="1"/>
        <v>0</v>
      </c>
    </row>
    <row r="25" spans="1:6" ht="13.5" thickBot="1">
      <c r="A25" s="371">
        <f t="shared" si="2"/>
        <v>24</v>
      </c>
      <c r="B25" s="368" t="str">
        <f>CONCATENATE(8," ",'opg 1.2 Prisoptimering'!$D$58)</f>
        <v>8 -</v>
      </c>
      <c r="C25" s="372">
        <f>'opg 1.2 Prisoptimering'!N74</f>
        <v>0</v>
      </c>
      <c r="D25" s="373">
        <f>'opg 1.2 Prisoptimering'!O74</f>
        <v>0</v>
      </c>
      <c r="E25" s="374">
        <f t="shared" si="0"/>
        <v>1300</v>
      </c>
      <c r="F25" s="369">
        <f t="shared" si="1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249" customWidth="1"/>
    <col min="2" max="2" width="3.28125" style="249" customWidth="1"/>
    <col min="3" max="3" width="17.7109375" style="249" customWidth="1"/>
    <col min="4" max="4" width="13.421875" style="249" customWidth="1"/>
    <col min="5" max="5" width="14.8515625" style="249" customWidth="1"/>
    <col min="6" max="6" width="15.57421875" style="249" customWidth="1"/>
    <col min="7" max="7" width="15.7109375" style="249" customWidth="1"/>
    <col min="8" max="8" width="14.8515625" style="249" customWidth="1"/>
    <col min="9" max="9" width="15.00390625" style="249" customWidth="1"/>
    <col min="10" max="10" width="13.421875" style="249" customWidth="1"/>
    <col min="11" max="11" width="14.140625" style="249" customWidth="1"/>
    <col min="12" max="13" width="13.57421875" style="249" customWidth="1"/>
    <col min="14" max="14" width="18.00390625" style="249" customWidth="1"/>
    <col min="15" max="15" width="11.00390625" style="249" customWidth="1"/>
    <col min="16" max="16384" width="8.8515625" style="249" customWidth="1"/>
  </cols>
  <sheetData>
    <row r="1" ht="18">
      <c r="C1" s="250" t="s">
        <v>160</v>
      </c>
    </row>
    <row r="2" spans="3:4" ht="15.75">
      <c r="C2" s="251" t="s">
        <v>161</v>
      </c>
      <c r="D2" s="252" t="s">
        <v>217</v>
      </c>
    </row>
    <row r="3" spans="3:5" ht="16.5" thickBot="1">
      <c r="C3" s="251" t="s">
        <v>163</v>
      </c>
      <c r="D3" s="252">
        <v>1</v>
      </c>
      <c r="E3" s="249" t="s">
        <v>164</v>
      </c>
    </row>
    <row r="4" spans="1:15" ht="30.75" thickBot="1">
      <c r="A4" s="253" t="s">
        <v>165</v>
      </c>
      <c r="B4" s="253" t="s">
        <v>166</v>
      </c>
      <c r="C4" s="254" t="s">
        <v>167</v>
      </c>
      <c r="D4" s="255" t="s">
        <v>168</v>
      </c>
      <c r="E4" s="255" t="s">
        <v>28</v>
      </c>
      <c r="F4" s="255" t="s">
        <v>169</v>
      </c>
      <c r="G4" s="255" t="s">
        <v>170</v>
      </c>
      <c r="H4" s="255" t="s">
        <v>171</v>
      </c>
      <c r="I4" s="255" t="s">
        <v>172</v>
      </c>
      <c r="J4" s="256" t="s">
        <v>173</v>
      </c>
      <c r="K4" s="257" t="s">
        <v>174</v>
      </c>
      <c r="L4" s="258" t="s">
        <v>175</v>
      </c>
      <c r="M4" s="259" t="s">
        <v>176</v>
      </c>
      <c r="N4" s="260" t="s">
        <v>177</v>
      </c>
      <c r="O4" s="261" t="s">
        <v>178</v>
      </c>
    </row>
    <row r="5" spans="1:15" ht="15" customHeight="1" thickBot="1">
      <c r="A5" s="262" t="str">
        <f>IF(C5=0,0,CONCATENATE(B5," ",$D$2))</f>
        <v>1 Dk</v>
      </c>
      <c r="B5" s="263">
        <v>1</v>
      </c>
      <c r="C5" s="264">
        <v>2100</v>
      </c>
      <c r="D5" s="265">
        <v>1000</v>
      </c>
      <c r="E5" s="266">
        <f>D5*C5</f>
        <v>2100000</v>
      </c>
      <c r="F5" s="267">
        <v>800</v>
      </c>
      <c r="G5" s="266">
        <f>F5*D5</f>
        <v>800000</v>
      </c>
      <c r="H5" s="268">
        <f>E5-G5</f>
        <v>1300000</v>
      </c>
      <c r="I5" s="269">
        <v>0</v>
      </c>
      <c r="J5" s="270">
        <f>H5-I5</f>
        <v>1300000</v>
      </c>
      <c r="K5" s="271">
        <f>C5-F5</f>
        <v>1300</v>
      </c>
      <c r="L5" s="272">
        <f>D5/$D$3</f>
        <v>1000</v>
      </c>
      <c r="M5" s="273">
        <f>IF(L5=0,0,H5/L5)</f>
        <v>1300</v>
      </c>
      <c r="N5" s="274">
        <f>IF(L5=0,0,H5/L5)</f>
        <v>1300</v>
      </c>
      <c r="O5" s="275">
        <f>IF(L5&lt;0,0,L5)</f>
        <v>1000</v>
      </c>
    </row>
    <row r="6" spans="1:15" ht="15.75" customHeight="1" thickBot="1">
      <c r="A6" s="276"/>
      <c r="B6" s="277"/>
      <c r="C6" s="278"/>
      <c r="D6" s="279"/>
      <c r="E6" s="280"/>
      <c r="F6" s="278"/>
      <c r="G6" s="280"/>
      <c r="H6" s="281"/>
      <c r="I6" s="282"/>
      <c r="J6" s="283"/>
      <c r="K6" s="277"/>
      <c r="L6" s="277"/>
      <c r="M6" s="284"/>
      <c r="N6" s="262">
        <f>IF(L7=0,0,(H7-H5)/(L7-L5))</f>
        <v>1100</v>
      </c>
      <c r="O6" s="262">
        <f>IF(L7-L5&lt;0,0,L7-L5)</f>
        <v>1000</v>
      </c>
    </row>
    <row r="7" spans="1:15" ht="13.5" thickBot="1">
      <c r="A7" s="262" t="str">
        <f>IF(C7=0,0,CONCATENATE(B7," ",$D$2))</f>
        <v>2 Dk</v>
      </c>
      <c r="B7" s="263">
        <v>2</v>
      </c>
      <c r="C7" s="267">
        <f>C5-100</f>
        <v>2000</v>
      </c>
      <c r="D7" s="285">
        <f>D5+1000</f>
        <v>2000</v>
      </c>
      <c r="E7" s="286">
        <f>D7*C7</f>
        <v>4000000</v>
      </c>
      <c r="F7" s="287">
        <f>IF(C7=0,0,$F$5)</f>
        <v>800</v>
      </c>
      <c r="G7" s="286">
        <f>F7*D7</f>
        <v>1600000</v>
      </c>
      <c r="H7" s="288">
        <f>E7-G7</f>
        <v>2400000</v>
      </c>
      <c r="I7" s="289">
        <f>IF(C7=0,0,$I$5)</f>
        <v>0</v>
      </c>
      <c r="J7" s="290">
        <f>H7-I7</f>
        <v>2400000</v>
      </c>
      <c r="K7" s="271">
        <f>C7-F7</f>
        <v>1200</v>
      </c>
      <c r="L7" s="273">
        <f>D7/$D$3</f>
        <v>2000</v>
      </c>
      <c r="M7" s="273">
        <f>IF(L7=0,0,H7/L7)</f>
        <v>1200</v>
      </c>
      <c r="N7" s="291"/>
      <c r="O7" s="276"/>
    </row>
    <row r="8" spans="1:15" ht="13.5" thickBot="1">
      <c r="A8" s="276"/>
      <c r="B8" s="277"/>
      <c r="C8" s="278"/>
      <c r="D8" s="279"/>
      <c r="E8" s="280"/>
      <c r="F8" s="292"/>
      <c r="G8" s="280"/>
      <c r="H8" s="281"/>
      <c r="I8" s="293"/>
      <c r="J8" s="283"/>
      <c r="K8" s="277"/>
      <c r="L8" s="284"/>
      <c r="M8" s="284"/>
      <c r="N8" s="262">
        <f>IF(L9=0,0,(H9-H7)/(L9-L7))</f>
        <v>900</v>
      </c>
      <c r="O8" s="262">
        <f>IF(L9-L7&lt;0,0,L9-L7)</f>
        <v>1000</v>
      </c>
    </row>
    <row r="9" spans="1:15" ht="13.5" customHeight="1" thickBot="1">
      <c r="A9" s="262" t="str">
        <f>IF(C9=0,0,CONCATENATE(B9," ",$D$2))</f>
        <v>3 Dk</v>
      </c>
      <c r="B9" s="263">
        <v>3</v>
      </c>
      <c r="C9" s="267">
        <f>C7-100</f>
        <v>1900</v>
      </c>
      <c r="D9" s="285">
        <f>D7+1000</f>
        <v>3000</v>
      </c>
      <c r="E9" s="286">
        <f>D9*C9</f>
        <v>5700000</v>
      </c>
      <c r="F9" s="287">
        <f>IF(C9=0,0,$F$5)</f>
        <v>800</v>
      </c>
      <c r="G9" s="286">
        <f>F9*D9</f>
        <v>2400000</v>
      </c>
      <c r="H9" s="288">
        <f>E9-G9</f>
        <v>3300000</v>
      </c>
      <c r="I9" s="289">
        <f>IF(C9=0,0,$I$5)</f>
        <v>0</v>
      </c>
      <c r="J9" s="290">
        <f>H9-I9</f>
        <v>3300000</v>
      </c>
      <c r="K9" s="271">
        <f>C9-F9</f>
        <v>1100</v>
      </c>
      <c r="L9" s="273">
        <f>D9/$D$3</f>
        <v>3000</v>
      </c>
      <c r="M9" s="273">
        <f>IF(L9=0,0,H9/L9)</f>
        <v>1100</v>
      </c>
      <c r="N9" s="291"/>
      <c r="O9" s="276"/>
    </row>
    <row r="10" spans="1:15" ht="13.5" customHeight="1" thickBot="1">
      <c r="A10" s="276"/>
      <c r="B10" s="277"/>
      <c r="C10" s="278"/>
      <c r="D10" s="279"/>
      <c r="E10" s="280"/>
      <c r="F10" s="292"/>
      <c r="G10" s="280"/>
      <c r="H10" s="281"/>
      <c r="I10" s="293"/>
      <c r="J10" s="283"/>
      <c r="K10" s="277"/>
      <c r="L10" s="284"/>
      <c r="M10" s="284"/>
      <c r="N10" s="262">
        <f>IF(L11=0,0,(H11-H9)/(L11-L9))</f>
        <v>700</v>
      </c>
      <c r="O10" s="262">
        <f>IF(L11-L9&lt;0,0,L11-L9)</f>
        <v>1000</v>
      </c>
    </row>
    <row r="11" spans="1:15" ht="13.5" customHeight="1" thickBot="1">
      <c r="A11" s="262" t="str">
        <f>IF(C11=0,0,CONCATENATE(B11," ",$D$2))</f>
        <v>4 Dk</v>
      </c>
      <c r="B11" s="263">
        <v>4</v>
      </c>
      <c r="C11" s="267">
        <f>C9-100</f>
        <v>1800</v>
      </c>
      <c r="D11" s="285">
        <f>D9+1000</f>
        <v>4000</v>
      </c>
      <c r="E11" s="286">
        <f>D11*C11</f>
        <v>7200000</v>
      </c>
      <c r="F11" s="287">
        <f>IF(C11=0,0,$F$5)</f>
        <v>800</v>
      </c>
      <c r="G11" s="286">
        <f>F11*D11</f>
        <v>3200000</v>
      </c>
      <c r="H11" s="288">
        <f>E11-G11</f>
        <v>4000000</v>
      </c>
      <c r="I11" s="289">
        <f>IF(C11=0,0,$I$5)</f>
        <v>0</v>
      </c>
      <c r="J11" s="290">
        <f>H11-I11</f>
        <v>4000000</v>
      </c>
      <c r="K11" s="271">
        <f>C11-F11</f>
        <v>1000</v>
      </c>
      <c r="L11" s="273">
        <f>D11/$D$3</f>
        <v>4000</v>
      </c>
      <c r="M11" s="273">
        <f>IF(L11=0,0,H11/L11)</f>
        <v>1000</v>
      </c>
      <c r="N11" s="291"/>
      <c r="O11" s="276"/>
    </row>
    <row r="12" spans="1:15" ht="13.5" customHeight="1" thickBot="1">
      <c r="A12" s="276"/>
      <c r="B12" s="277"/>
      <c r="C12" s="278"/>
      <c r="D12" s="279"/>
      <c r="E12" s="280"/>
      <c r="F12" s="294"/>
      <c r="G12" s="280"/>
      <c r="H12" s="281"/>
      <c r="I12" s="293"/>
      <c r="J12" s="283"/>
      <c r="K12" s="277"/>
      <c r="L12" s="284"/>
      <c r="M12" s="284"/>
      <c r="N12" s="262">
        <f>IF(L13=0,0,(H13-H11)/(L13-L11))</f>
        <v>500</v>
      </c>
      <c r="O12" s="262">
        <f>IF(L13-L11&lt;0,0,L13-L11)</f>
        <v>1000</v>
      </c>
    </row>
    <row r="13" spans="1:15" ht="13.5" customHeight="1" thickBot="1">
      <c r="A13" s="262" t="str">
        <f>IF(C13=0,0,CONCATENATE(B13," ",$D$2))</f>
        <v>5 Dk</v>
      </c>
      <c r="B13" s="263">
        <v>5</v>
      </c>
      <c r="C13" s="267">
        <f>C11-100</f>
        <v>1700</v>
      </c>
      <c r="D13" s="285">
        <f>D11+1000</f>
        <v>5000</v>
      </c>
      <c r="E13" s="286">
        <f>D13*C13</f>
        <v>8500000</v>
      </c>
      <c r="F13" s="287">
        <f>IF(C13=0,0,$F$5)</f>
        <v>800</v>
      </c>
      <c r="G13" s="286">
        <f>F13*D13</f>
        <v>4000000</v>
      </c>
      <c r="H13" s="288">
        <f>E13-G13</f>
        <v>4500000</v>
      </c>
      <c r="I13" s="289">
        <f>IF(C13=0,0,$I$5)</f>
        <v>0</v>
      </c>
      <c r="J13" s="290">
        <f>H13-I13</f>
        <v>4500000</v>
      </c>
      <c r="K13" s="271">
        <f>C13-F13</f>
        <v>900</v>
      </c>
      <c r="L13" s="273">
        <f>D13/$D$3</f>
        <v>5000</v>
      </c>
      <c r="M13" s="273">
        <f>IF(L13=0,0,H13/L13)</f>
        <v>900</v>
      </c>
      <c r="N13" s="291"/>
      <c r="O13" s="276"/>
    </row>
    <row r="14" spans="1:15" ht="13.5" customHeight="1" thickBot="1">
      <c r="A14" s="276"/>
      <c r="B14" s="277"/>
      <c r="C14" s="278"/>
      <c r="D14" s="279"/>
      <c r="E14" s="280"/>
      <c r="F14" s="294"/>
      <c r="G14" s="280"/>
      <c r="H14" s="281"/>
      <c r="I14" s="293"/>
      <c r="J14" s="283"/>
      <c r="K14" s="277"/>
      <c r="L14" s="284"/>
      <c r="M14" s="284"/>
      <c r="N14" s="262">
        <f>IF(L15=0,0,(H15-H13)/(L15-L13))</f>
        <v>300</v>
      </c>
      <c r="O14" s="262">
        <f>IF(L15-L13&lt;0,0,L15-L13)</f>
        <v>1000</v>
      </c>
    </row>
    <row r="15" spans="1:15" ht="13.5" customHeight="1" thickBot="1">
      <c r="A15" s="262" t="str">
        <f>IF(C15=0,0,CONCATENATE(B15," ",$D$2))</f>
        <v>6 Dk</v>
      </c>
      <c r="B15" s="263">
        <v>6</v>
      </c>
      <c r="C15" s="267">
        <f>C13-100</f>
        <v>1600</v>
      </c>
      <c r="D15" s="285">
        <f>D13+1000</f>
        <v>6000</v>
      </c>
      <c r="E15" s="286">
        <f>D15*C15</f>
        <v>9600000</v>
      </c>
      <c r="F15" s="287">
        <f>IF(C15=0,0,$F$5)</f>
        <v>800</v>
      </c>
      <c r="G15" s="286">
        <f>F15*D15</f>
        <v>4800000</v>
      </c>
      <c r="H15" s="288">
        <f>E15-G15</f>
        <v>4800000</v>
      </c>
      <c r="I15" s="289">
        <f>IF(C15=0,0,$I$5)</f>
        <v>0</v>
      </c>
      <c r="J15" s="290">
        <f>H15-I15</f>
        <v>4800000</v>
      </c>
      <c r="K15" s="271">
        <f>C15-F15</f>
        <v>800</v>
      </c>
      <c r="L15" s="273">
        <f>D15/$D$3</f>
        <v>6000</v>
      </c>
      <c r="M15" s="273">
        <f>IF(L15=0,0,H15/L15)</f>
        <v>800</v>
      </c>
      <c r="N15" s="291"/>
      <c r="O15" s="276"/>
    </row>
    <row r="16" spans="1:15" ht="13.5" customHeight="1" thickBot="1">
      <c r="A16" s="276"/>
      <c r="B16" s="277"/>
      <c r="C16" s="278"/>
      <c r="D16" s="279"/>
      <c r="E16" s="280"/>
      <c r="F16" s="292"/>
      <c r="G16" s="280"/>
      <c r="H16" s="281"/>
      <c r="I16" s="293"/>
      <c r="J16" s="283"/>
      <c r="K16" s="277"/>
      <c r="L16" s="284"/>
      <c r="M16" s="284"/>
      <c r="N16" s="262">
        <f>IF(L17=0,0,(H17-H15)/(L17-L15))</f>
        <v>0</v>
      </c>
      <c r="O16" s="262">
        <f>IF(L17-L15&lt;0,0,L17-L15)</f>
        <v>0</v>
      </c>
    </row>
    <row r="17" spans="1:15" ht="13.5" customHeight="1" thickBot="1">
      <c r="A17" s="262">
        <f>IF(C17=0,0,CONCATENATE(B17," ",$D$2))</f>
        <v>0</v>
      </c>
      <c r="B17" s="263">
        <v>7</v>
      </c>
      <c r="C17" s="267">
        <v>0</v>
      </c>
      <c r="D17" s="285">
        <v>0</v>
      </c>
      <c r="E17" s="286">
        <f>D17*C17</f>
        <v>0</v>
      </c>
      <c r="F17" s="287">
        <f>IF(C17=0,0,$F$5)</f>
        <v>0</v>
      </c>
      <c r="G17" s="286">
        <f>F17*D17</f>
        <v>0</v>
      </c>
      <c r="H17" s="288">
        <f>E17-G17</f>
        <v>0</v>
      </c>
      <c r="I17" s="289">
        <f>IF(C17=0,0,$I$5)</f>
        <v>0</v>
      </c>
      <c r="J17" s="290">
        <f>H17-I17</f>
        <v>0</v>
      </c>
      <c r="K17" s="271">
        <f>C17-F17</f>
        <v>0</v>
      </c>
      <c r="L17" s="273">
        <f>D17/$D$3</f>
        <v>0</v>
      </c>
      <c r="M17" s="273">
        <f>IF(L17=0,0,H17/L17)</f>
        <v>0</v>
      </c>
      <c r="N17" s="291"/>
      <c r="O17" s="276"/>
    </row>
    <row r="18" spans="1:15" ht="13.5" customHeight="1" thickBot="1">
      <c r="A18" s="276"/>
      <c r="B18" s="277"/>
      <c r="C18" s="295"/>
      <c r="D18" s="296"/>
      <c r="E18" s="297"/>
      <c r="F18" s="292"/>
      <c r="G18" s="297"/>
      <c r="H18" s="298"/>
      <c r="I18" s="293"/>
      <c r="J18" s="299"/>
      <c r="K18" s="277"/>
      <c r="L18" s="284"/>
      <c r="M18" s="284"/>
      <c r="N18" s="262">
        <f>IF(L19=0,0,(H19-H17)/(L19-L17))</f>
        <v>0</v>
      </c>
      <c r="O18" s="262">
        <f>IF(L19-L17&lt;0,0,L19-L17)</f>
        <v>0</v>
      </c>
    </row>
    <row r="19" spans="1:15" ht="12.75" customHeight="1" thickBot="1">
      <c r="A19" s="262">
        <f>IF(C19=0,0,CONCATENATE(B19," ",$D$2))</f>
        <v>0</v>
      </c>
      <c r="B19" s="263">
        <v>8</v>
      </c>
      <c r="C19" s="267">
        <v>0</v>
      </c>
      <c r="D19" s="285">
        <v>0</v>
      </c>
      <c r="E19" s="286">
        <f>D19*C19</f>
        <v>0</v>
      </c>
      <c r="F19" s="287">
        <f>IF(C19=0,0,$F$5)</f>
        <v>0</v>
      </c>
      <c r="G19" s="286">
        <f>F19*D19</f>
        <v>0</v>
      </c>
      <c r="H19" s="288">
        <f>E19-G19</f>
        <v>0</v>
      </c>
      <c r="I19" s="289">
        <f>IF(C19=0,0,$I$5)</f>
        <v>0</v>
      </c>
      <c r="J19" s="290">
        <f>H19-I19</f>
        <v>0</v>
      </c>
      <c r="K19" s="300">
        <f>C19-F19</f>
        <v>0</v>
      </c>
      <c r="L19" s="273">
        <f>D19/$D$3</f>
        <v>0</v>
      </c>
      <c r="M19" s="273">
        <f>IF(L19=0,0,H19/L19)</f>
        <v>0</v>
      </c>
      <c r="N19" s="291"/>
      <c r="O19" s="276"/>
    </row>
    <row r="20" spans="1:14" ht="13.5" customHeight="1" thickBot="1">
      <c r="A20" s="276"/>
      <c r="B20" s="277"/>
      <c r="C20" s="295"/>
      <c r="D20" s="296"/>
      <c r="E20" s="297"/>
      <c r="F20" s="294"/>
      <c r="G20" s="297"/>
      <c r="H20" s="298"/>
      <c r="I20" s="301"/>
      <c r="J20" s="299"/>
      <c r="K20" s="277"/>
      <c r="L20" s="284"/>
      <c r="M20" s="284"/>
      <c r="N20" s="302"/>
    </row>
    <row r="21" spans="3:14" ht="12.75" hidden="1">
      <c r="C21" s="303"/>
      <c r="D21" s="304"/>
      <c r="E21" s="304"/>
      <c r="F21" s="303"/>
      <c r="G21" s="304"/>
      <c r="H21" s="304"/>
      <c r="I21" s="304"/>
      <c r="J21" s="304"/>
      <c r="K21" s="305"/>
      <c r="L21" s="302"/>
      <c r="M21" s="302"/>
      <c r="N21" s="306"/>
    </row>
    <row r="22" spans="3:14" ht="12.75" hidden="1">
      <c r="C22" s="303"/>
      <c r="D22" s="304"/>
      <c r="E22" s="304"/>
      <c r="F22" s="303"/>
      <c r="G22" s="304"/>
      <c r="H22" s="304"/>
      <c r="I22" s="304"/>
      <c r="J22" s="304"/>
      <c r="K22" s="306"/>
      <c r="L22" s="306"/>
      <c r="M22" s="302"/>
      <c r="N22" s="302"/>
    </row>
    <row r="23" spans="3:14" ht="12.75" hidden="1">
      <c r="C23" s="303"/>
      <c r="D23" s="304"/>
      <c r="E23" s="304"/>
      <c r="F23" s="303"/>
      <c r="G23" s="304"/>
      <c r="H23" s="304"/>
      <c r="I23" s="304"/>
      <c r="J23" s="304"/>
      <c r="K23" s="305"/>
      <c r="L23" s="302"/>
      <c r="M23" s="302"/>
      <c r="N23" s="306"/>
    </row>
    <row r="24" spans="3:13" ht="12.75" hidden="1">
      <c r="C24" s="303"/>
      <c r="D24" s="304"/>
      <c r="E24" s="304"/>
      <c r="F24" s="303"/>
      <c r="G24" s="304"/>
      <c r="H24" s="304"/>
      <c r="I24" s="304"/>
      <c r="J24" s="304"/>
      <c r="K24" s="306"/>
      <c r="L24" s="306"/>
      <c r="M24" s="302"/>
    </row>
    <row r="25" spans="3:10" ht="21">
      <c r="C25" s="249" t="s">
        <v>179</v>
      </c>
      <c r="D25" s="307">
        <f>MAX(J5:J24)</f>
        <v>4800000</v>
      </c>
      <c r="E25" s="249" t="s">
        <v>180</v>
      </c>
      <c r="F25" s="308"/>
      <c r="G25" s="309"/>
      <c r="H25" s="308"/>
      <c r="I25" s="308"/>
      <c r="J25" s="310"/>
    </row>
    <row r="26" spans="3:10" ht="21">
      <c r="C26" s="311" t="s">
        <v>181</v>
      </c>
      <c r="D26" s="309">
        <f>IF(D25=J5,C5,IF(D25=J7,C7,IF(D25=J9,C9,IF(D25=J11,C11,IF(D25=J13,C13,IF(D25=J15,C15,IF(D25=J17,C17,IF(D25=J19,C19,"ingen"))))))))</f>
        <v>1600</v>
      </c>
      <c r="E26" s="309"/>
      <c r="F26" s="308"/>
      <c r="G26" s="309"/>
      <c r="H26" s="308"/>
      <c r="I26" s="308"/>
      <c r="J26" s="310"/>
    </row>
    <row r="27" spans="3:10" ht="21">
      <c r="C27" s="311" t="s">
        <v>182</v>
      </c>
      <c r="D27" s="309">
        <f>IF($D$25=J5,D5,IF($D$25=J7,D7,IF($D$25=J9,D9,IF($D$25=J11,D11,IF($D$25=J13,D13,IF($D$25=J15,D15,IF($D$25=J17,D17,IF(D26=J19,D19,"ingen"))))))))</f>
        <v>6000</v>
      </c>
      <c r="E27" s="309"/>
      <c r="F27" s="308"/>
      <c r="G27" s="309"/>
      <c r="H27" s="308"/>
      <c r="I27" s="308"/>
      <c r="J27" s="310"/>
    </row>
    <row r="28" spans="3:10" ht="21" hidden="1">
      <c r="C28" s="311"/>
      <c r="D28" s="309"/>
      <c r="E28" s="309"/>
      <c r="F28" s="308"/>
      <c r="G28" s="309"/>
      <c r="H28" s="308"/>
      <c r="I28" s="308"/>
      <c r="J28" s="310"/>
    </row>
    <row r="29" ht="18">
      <c r="C29" s="250"/>
    </row>
    <row r="30" spans="3:4" ht="15.75">
      <c r="C30" s="251" t="s">
        <v>161</v>
      </c>
      <c r="D30" s="312" t="s">
        <v>183</v>
      </c>
    </row>
    <row r="31" spans="3:5" ht="16.5" thickBot="1">
      <c r="C31" s="251" t="s">
        <v>163</v>
      </c>
      <c r="D31" s="312">
        <v>1</v>
      </c>
      <c r="E31" s="249" t="s">
        <v>164</v>
      </c>
    </row>
    <row r="32" spans="1:15" ht="30.75" thickBot="1">
      <c r="A32" s="313" t="str">
        <f>A4</f>
        <v>Navn</v>
      </c>
      <c r="B32" s="253" t="str">
        <f>B4</f>
        <v>Nr.</v>
      </c>
      <c r="C32" s="254" t="s">
        <v>167</v>
      </c>
      <c r="D32" s="255" t="s">
        <v>168</v>
      </c>
      <c r="E32" s="255" t="s">
        <v>28</v>
      </c>
      <c r="F32" s="255" t="s">
        <v>169</v>
      </c>
      <c r="G32" s="255" t="s">
        <v>170</v>
      </c>
      <c r="H32" s="255" t="s">
        <v>171</v>
      </c>
      <c r="I32" s="255" t="s">
        <v>172</v>
      </c>
      <c r="J32" s="256" t="s">
        <v>173</v>
      </c>
      <c r="K32" s="257" t="s">
        <v>174</v>
      </c>
      <c r="L32" s="258" t="s">
        <v>175</v>
      </c>
      <c r="M32" s="259" t="s">
        <v>176</v>
      </c>
      <c r="N32" s="260" t="s">
        <v>177</v>
      </c>
      <c r="O32" s="261" t="s">
        <v>184</v>
      </c>
    </row>
    <row r="33" spans="1:15" ht="13.5" thickBot="1">
      <c r="A33" s="262" t="str">
        <f>IF(C33=0,0,CONCATENATE(B33," ",$D$30))</f>
        <v>1 Tysk</v>
      </c>
      <c r="B33" s="263">
        <f>B5</f>
        <v>1</v>
      </c>
      <c r="C33" s="314">
        <v>2150</v>
      </c>
      <c r="D33" s="315">
        <v>1000</v>
      </c>
      <c r="E33" s="266">
        <f>D33*C33</f>
        <v>2150000</v>
      </c>
      <c r="F33" s="316">
        <v>1200</v>
      </c>
      <c r="G33" s="266">
        <f>F33*D33</f>
        <v>1200000</v>
      </c>
      <c r="H33" s="268">
        <f>E33-G33</f>
        <v>950000</v>
      </c>
      <c r="I33" s="317">
        <v>0</v>
      </c>
      <c r="J33" s="270">
        <f>H33-I33</f>
        <v>950000</v>
      </c>
      <c r="K33" s="271">
        <f>C33-F33</f>
        <v>950</v>
      </c>
      <c r="L33" s="272">
        <f>D33/$D$31</f>
        <v>1000</v>
      </c>
      <c r="M33" s="273">
        <f>IF(L33=0,0,H33/L33)</f>
        <v>950</v>
      </c>
      <c r="N33" s="274">
        <f>IF(L33=0,0,H33/L33)</f>
        <v>950</v>
      </c>
      <c r="O33" s="275">
        <f>L33</f>
        <v>1000</v>
      </c>
    </row>
    <row r="34" spans="1:15" ht="13.5" thickBot="1">
      <c r="A34" s="276"/>
      <c r="B34" s="277"/>
      <c r="C34" s="318"/>
      <c r="D34" s="319"/>
      <c r="E34" s="280"/>
      <c r="F34" s="318"/>
      <c r="G34" s="280"/>
      <c r="H34" s="281"/>
      <c r="I34" s="320"/>
      <c r="J34" s="283"/>
      <c r="K34" s="277"/>
      <c r="L34" s="277"/>
      <c r="M34" s="284"/>
      <c r="N34" s="262">
        <f>IF(L35=0,0,(H35-H33)/(L35-L33))</f>
        <v>850</v>
      </c>
      <c r="O34" s="262">
        <f>IF(L35-L33&lt;0,0,(L35-L33))</f>
        <v>1000</v>
      </c>
    </row>
    <row r="35" spans="1:15" ht="13.5" thickBot="1">
      <c r="A35" s="262" t="str">
        <f>IF(C35=0,0,CONCATENATE(B35," ",$D$30))</f>
        <v>2 Tysk</v>
      </c>
      <c r="B35" s="263">
        <f>B7</f>
        <v>2</v>
      </c>
      <c r="C35" s="316">
        <f>C33-50</f>
        <v>2100</v>
      </c>
      <c r="D35" s="321">
        <f>D33+1000</f>
        <v>2000</v>
      </c>
      <c r="E35" s="286">
        <f>D35*C35</f>
        <v>4200000</v>
      </c>
      <c r="F35" s="287">
        <f>IF(C35=0,0,$F$33)</f>
        <v>1200</v>
      </c>
      <c r="G35" s="286">
        <f>F35*D35</f>
        <v>2400000</v>
      </c>
      <c r="H35" s="288">
        <f>E35-G35</f>
        <v>1800000</v>
      </c>
      <c r="I35" s="289">
        <f>IF(C35=0,0,$I$33)</f>
        <v>0</v>
      </c>
      <c r="J35" s="290">
        <f>H35-I35</f>
        <v>1800000</v>
      </c>
      <c r="K35" s="271">
        <f>C35-F35</f>
        <v>900</v>
      </c>
      <c r="L35" s="272">
        <f>D35/$D$31</f>
        <v>2000</v>
      </c>
      <c r="M35" s="273">
        <f>IF(L35=0,0,H35/L35)</f>
        <v>900</v>
      </c>
      <c r="N35" s="291"/>
      <c r="O35" s="276"/>
    </row>
    <row r="36" spans="1:15" ht="13.5" thickBot="1">
      <c r="A36" s="276"/>
      <c r="B36" s="277"/>
      <c r="C36" s="318"/>
      <c r="D36" s="319"/>
      <c r="E36" s="280"/>
      <c r="F36" s="292"/>
      <c r="G36" s="280"/>
      <c r="H36" s="281"/>
      <c r="I36" s="293"/>
      <c r="J36" s="283"/>
      <c r="K36" s="277"/>
      <c r="L36" s="277"/>
      <c r="M36" s="284"/>
      <c r="N36" s="262">
        <f>IF(L37=0,0,(H37-H35)/(L37-L35))</f>
        <v>750</v>
      </c>
      <c r="O36" s="262">
        <f>IF(L37-L35&lt;0,0,(L37-L35))</f>
        <v>1000</v>
      </c>
    </row>
    <row r="37" spans="1:15" ht="13.5" customHeight="1" thickBot="1">
      <c r="A37" s="262" t="str">
        <f>IF(C37=0,0,CONCATENATE(B37," ",$D$30))</f>
        <v>3 Tysk</v>
      </c>
      <c r="B37" s="263">
        <f>B9</f>
        <v>3</v>
      </c>
      <c r="C37" s="316">
        <f>C35-50</f>
        <v>2050</v>
      </c>
      <c r="D37" s="321">
        <f>D35+1000</f>
        <v>3000</v>
      </c>
      <c r="E37" s="286">
        <f>D37*C37</f>
        <v>6150000</v>
      </c>
      <c r="F37" s="287">
        <f>IF(C37=0,0,$F$33)</f>
        <v>1200</v>
      </c>
      <c r="G37" s="286">
        <f>F37*D37</f>
        <v>3600000</v>
      </c>
      <c r="H37" s="288">
        <f>E37-G37</f>
        <v>2550000</v>
      </c>
      <c r="I37" s="289">
        <f>IF(C37=0,0,$I$33)</f>
        <v>0</v>
      </c>
      <c r="J37" s="290">
        <f>H37-I37</f>
        <v>2550000</v>
      </c>
      <c r="K37" s="271">
        <f>C37-F37</f>
        <v>850</v>
      </c>
      <c r="L37" s="272">
        <f>D37/$D$31</f>
        <v>3000</v>
      </c>
      <c r="M37" s="273">
        <f>IF(L37=0,0,H37/L37)</f>
        <v>850</v>
      </c>
      <c r="N37" s="291"/>
      <c r="O37" s="276"/>
    </row>
    <row r="38" spans="1:15" ht="13.5" customHeight="1" thickBot="1">
      <c r="A38" s="276"/>
      <c r="B38" s="277"/>
      <c r="C38" s="318"/>
      <c r="D38" s="319"/>
      <c r="E38" s="280"/>
      <c r="F38" s="292"/>
      <c r="G38" s="280"/>
      <c r="H38" s="281"/>
      <c r="I38" s="293"/>
      <c r="J38" s="283"/>
      <c r="K38" s="277"/>
      <c r="L38" s="277"/>
      <c r="M38" s="284"/>
      <c r="N38" s="262">
        <f>IF(L39=0,0,(H39-H37)/(L39-L37))</f>
        <v>650</v>
      </c>
      <c r="O38" s="262">
        <f>IF(L39-L37&lt;0,0,(L39-L37))</f>
        <v>1000</v>
      </c>
    </row>
    <row r="39" spans="1:15" ht="13.5" customHeight="1" thickBot="1">
      <c r="A39" s="262" t="str">
        <f>IF(C39=0,0,CONCATENATE(B39," ",$D$30))</f>
        <v>4 Tysk</v>
      </c>
      <c r="B39" s="263">
        <f>B11</f>
        <v>4</v>
      </c>
      <c r="C39" s="316">
        <f>C37-50</f>
        <v>2000</v>
      </c>
      <c r="D39" s="321">
        <f>D37+1000</f>
        <v>4000</v>
      </c>
      <c r="E39" s="286">
        <f>D39*C39</f>
        <v>8000000</v>
      </c>
      <c r="F39" s="287">
        <f>IF(C39=0,0,$F$33)</f>
        <v>1200</v>
      </c>
      <c r="G39" s="286">
        <f>F39*D39</f>
        <v>4800000</v>
      </c>
      <c r="H39" s="288">
        <f>E39-G39</f>
        <v>3200000</v>
      </c>
      <c r="I39" s="289">
        <f>IF(C39=0,0,$I$33)</f>
        <v>0</v>
      </c>
      <c r="J39" s="290">
        <f>H39-I39</f>
        <v>3200000</v>
      </c>
      <c r="K39" s="271">
        <f>C39-F39</f>
        <v>800</v>
      </c>
      <c r="L39" s="272">
        <f>D39/$D$31</f>
        <v>4000</v>
      </c>
      <c r="M39" s="273">
        <f>IF(L39=0,0,H39/L39)</f>
        <v>800</v>
      </c>
      <c r="N39" s="291"/>
      <c r="O39" s="276"/>
    </row>
    <row r="40" spans="1:15" ht="13.5" customHeight="1" thickBot="1">
      <c r="A40" s="276"/>
      <c r="B40" s="277"/>
      <c r="C40" s="318"/>
      <c r="D40" s="319"/>
      <c r="E40" s="280"/>
      <c r="F40" s="292"/>
      <c r="G40" s="280"/>
      <c r="H40" s="281"/>
      <c r="I40" s="293"/>
      <c r="J40" s="283"/>
      <c r="K40" s="277"/>
      <c r="L40" s="277"/>
      <c r="M40" s="284"/>
      <c r="N40" s="262">
        <f>IF(L41=0,0,(H41-H39)/(L41-L39))</f>
        <v>550</v>
      </c>
      <c r="O40" s="262">
        <f>IF(L41-L39&lt;0,0,(L41-L39))</f>
        <v>1000</v>
      </c>
    </row>
    <row r="41" spans="1:15" ht="13.5" customHeight="1" thickBot="1">
      <c r="A41" s="262" t="str">
        <f>IF(C41=0,0,CONCATENATE(B41," ",$D$30))</f>
        <v>5 Tysk</v>
      </c>
      <c r="B41" s="263">
        <f>B13</f>
        <v>5</v>
      </c>
      <c r="C41" s="316">
        <f>C39-50</f>
        <v>1950</v>
      </c>
      <c r="D41" s="321">
        <f>D39+1000</f>
        <v>5000</v>
      </c>
      <c r="E41" s="286">
        <f>D41*C41</f>
        <v>9750000</v>
      </c>
      <c r="F41" s="287">
        <f>IF(C41=0,0,$F$33)</f>
        <v>1200</v>
      </c>
      <c r="G41" s="286">
        <f>F41*D41</f>
        <v>6000000</v>
      </c>
      <c r="H41" s="288">
        <f>E41-G41</f>
        <v>3750000</v>
      </c>
      <c r="I41" s="289">
        <f>IF(C41=0,0,$I$33)</f>
        <v>0</v>
      </c>
      <c r="J41" s="290">
        <f>H41-I41</f>
        <v>3750000</v>
      </c>
      <c r="K41" s="271">
        <f>C41-F41</f>
        <v>750</v>
      </c>
      <c r="L41" s="272">
        <f>D41/$D$31</f>
        <v>5000</v>
      </c>
      <c r="M41" s="273">
        <f>IF(L41=0,0,H41/L41)</f>
        <v>750</v>
      </c>
      <c r="N41" s="291"/>
      <c r="O41" s="276"/>
    </row>
    <row r="42" spans="1:15" ht="13.5" customHeight="1" thickBot="1">
      <c r="A42" s="276"/>
      <c r="B42" s="277"/>
      <c r="C42" s="318"/>
      <c r="D42" s="319"/>
      <c r="E42" s="280"/>
      <c r="F42" s="292"/>
      <c r="G42" s="280"/>
      <c r="H42" s="281"/>
      <c r="I42" s="293"/>
      <c r="J42" s="283"/>
      <c r="K42" s="277"/>
      <c r="L42" s="277"/>
      <c r="M42" s="284"/>
      <c r="N42" s="262">
        <f>IF(L43=0,0,(H43-H41)/(L43-L41))</f>
        <v>450</v>
      </c>
      <c r="O42" s="262">
        <f>IF(L43-L41&lt;0,0,(L43-L41))</f>
        <v>1000</v>
      </c>
    </row>
    <row r="43" spans="1:15" ht="13.5" customHeight="1" thickBot="1">
      <c r="A43" s="262" t="str">
        <f>IF(C43=0,0,CONCATENATE(B43," ",$D$30))</f>
        <v>6 Tysk</v>
      </c>
      <c r="B43" s="263">
        <f>B15</f>
        <v>6</v>
      </c>
      <c r="C43" s="316">
        <f>C41-50</f>
        <v>1900</v>
      </c>
      <c r="D43" s="321">
        <f>D41+1000</f>
        <v>6000</v>
      </c>
      <c r="E43" s="286">
        <f>D43*C43</f>
        <v>11400000</v>
      </c>
      <c r="F43" s="287">
        <f>IF(C43=0,0,$F$33)</f>
        <v>1200</v>
      </c>
      <c r="G43" s="286">
        <f>F43*D43</f>
        <v>7200000</v>
      </c>
      <c r="H43" s="288">
        <f>E43-G43</f>
        <v>4200000</v>
      </c>
      <c r="I43" s="289">
        <f>IF(C43=0,0,$I$33)</f>
        <v>0</v>
      </c>
      <c r="J43" s="290">
        <f>H43-I43</f>
        <v>4200000</v>
      </c>
      <c r="K43" s="271">
        <f>C43-F43</f>
        <v>700</v>
      </c>
      <c r="L43" s="272">
        <f>D43/$D$31</f>
        <v>6000</v>
      </c>
      <c r="M43" s="273">
        <f>IF(L43=0,0,H43/L43)</f>
        <v>700</v>
      </c>
      <c r="N43" s="291"/>
      <c r="O43" s="276"/>
    </row>
    <row r="44" spans="1:15" ht="13.5" customHeight="1" thickBot="1">
      <c r="A44" s="276"/>
      <c r="B44" s="277"/>
      <c r="C44" s="318"/>
      <c r="D44" s="319"/>
      <c r="E44" s="280"/>
      <c r="F44" s="292"/>
      <c r="G44" s="280"/>
      <c r="H44" s="281"/>
      <c r="I44" s="293"/>
      <c r="J44" s="283"/>
      <c r="K44" s="277"/>
      <c r="L44" s="277"/>
      <c r="M44" s="284"/>
      <c r="N44" s="262">
        <f>IF(L45=0,0,(H45-H43)/(L45-L43))</f>
        <v>350</v>
      </c>
      <c r="O44" s="262">
        <f>IF(L45-L43&lt;0,0,(L45-L43))</f>
        <v>1000</v>
      </c>
    </row>
    <row r="45" spans="1:15" ht="13.5" customHeight="1" thickBot="1">
      <c r="A45" s="262" t="str">
        <f>IF(C45=0,0,CONCATENATE(B45," ",$D$30))</f>
        <v>7 Tysk</v>
      </c>
      <c r="B45" s="263">
        <f>B17</f>
        <v>7</v>
      </c>
      <c r="C45" s="316">
        <f>C43-50</f>
        <v>1850</v>
      </c>
      <c r="D45" s="321">
        <f>D43+1000</f>
        <v>7000</v>
      </c>
      <c r="E45" s="286">
        <f>D45*C45</f>
        <v>12950000</v>
      </c>
      <c r="F45" s="287">
        <f>IF(C45=0,0,$F$33)</f>
        <v>1200</v>
      </c>
      <c r="G45" s="286">
        <f>F45*D45</f>
        <v>8400000</v>
      </c>
      <c r="H45" s="288">
        <f>E45-G45</f>
        <v>4550000</v>
      </c>
      <c r="I45" s="289">
        <f>IF(C45=0,0,$I$33)</f>
        <v>0</v>
      </c>
      <c r="J45" s="290">
        <f>H45-I45</f>
        <v>4550000</v>
      </c>
      <c r="K45" s="271">
        <f>C45-F45</f>
        <v>650</v>
      </c>
      <c r="L45" s="272">
        <f>D45/$D$31</f>
        <v>7000</v>
      </c>
      <c r="M45" s="273">
        <f>IF(L45=0,0,H45/L45)</f>
        <v>650</v>
      </c>
      <c r="N45" s="291"/>
      <c r="O45" s="276"/>
    </row>
    <row r="46" spans="1:15" ht="13.5" customHeight="1" thickBot="1">
      <c r="A46" s="276"/>
      <c r="B46" s="277"/>
      <c r="C46" s="318"/>
      <c r="D46" s="319"/>
      <c r="E46" s="297"/>
      <c r="F46" s="292"/>
      <c r="G46" s="297"/>
      <c r="H46" s="298"/>
      <c r="I46" s="293"/>
      <c r="J46" s="299"/>
      <c r="K46" s="277"/>
      <c r="L46" s="277"/>
      <c r="M46" s="284"/>
      <c r="N46" s="262">
        <f>IF(L47=0,0,(H47-H45)/(L47-L45))</f>
        <v>0</v>
      </c>
      <c r="O46" s="262">
        <f>IF(L47-L45&lt;0,0,(L47-L45))</f>
        <v>0</v>
      </c>
    </row>
    <row r="47" spans="1:15" ht="13.5" customHeight="1" thickBot="1">
      <c r="A47" s="262">
        <f>IF(C47=0,0,CONCATENATE(B47," ",$D$30))</f>
        <v>0</v>
      </c>
      <c r="B47" s="263">
        <f>B19</f>
        <v>8</v>
      </c>
      <c r="C47" s="316">
        <v>0</v>
      </c>
      <c r="D47" s="321">
        <v>0</v>
      </c>
      <c r="E47" s="286">
        <f>D47*C47</f>
        <v>0</v>
      </c>
      <c r="F47" s="287">
        <f>IF(C47=0,0,$F$33)</f>
        <v>0</v>
      </c>
      <c r="G47" s="286">
        <f>F47*D47</f>
        <v>0</v>
      </c>
      <c r="H47" s="288">
        <f>E47-G47</f>
        <v>0</v>
      </c>
      <c r="I47" s="289">
        <f>IF(C47=0,0,$I$33)</f>
        <v>0</v>
      </c>
      <c r="J47" s="290">
        <f>H47-I47</f>
        <v>0</v>
      </c>
      <c r="K47" s="300">
        <f>C47-F47</f>
        <v>0</v>
      </c>
      <c r="L47" s="272">
        <f>D47/$D$31</f>
        <v>0</v>
      </c>
      <c r="M47" s="273">
        <f>IF(L47=0,0,H47/L47)</f>
        <v>0</v>
      </c>
      <c r="N47" s="291"/>
      <c r="O47" s="276"/>
    </row>
    <row r="48" spans="1:14" ht="13.5" customHeight="1" thickBot="1">
      <c r="A48" s="276"/>
      <c r="B48" s="277"/>
      <c r="C48" s="322"/>
      <c r="D48" s="323"/>
      <c r="E48" s="297"/>
      <c r="F48" s="294"/>
      <c r="G48" s="297"/>
      <c r="H48" s="298"/>
      <c r="I48" s="301"/>
      <c r="J48" s="299"/>
      <c r="K48" s="277"/>
      <c r="L48" s="277"/>
      <c r="M48" s="284"/>
      <c r="N48" s="302"/>
    </row>
    <row r="49" spans="3:14" ht="12.75" hidden="1">
      <c r="C49" s="303"/>
      <c r="D49" s="304"/>
      <c r="E49" s="304"/>
      <c r="F49" s="303"/>
      <c r="G49" s="304"/>
      <c r="H49" s="304"/>
      <c r="I49" s="304"/>
      <c r="J49" s="304"/>
      <c r="K49" s="305"/>
      <c r="L49" s="302"/>
      <c r="M49" s="302"/>
      <c r="N49" s="306"/>
    </row>
    <row r="50" spans="3:14" ht="12.75" hidden="1">
      <c r="C50" s="303"/>
      <c r="D50" s="304"/>
      <c r="E50" s="304"/>
      <c r="F50" s="303"/>
      <c r="G50" s="304"/>
      <c r="H50" s="304"/>
      <c r="I50" s="304"/>
      <c r="J50" s="304"/>
      <c r="K50" s="306"/>
      <c r="L50" s="306"/>
      <c r="M50" s="302"/>
      <c r="N50" s="302"/>
    </row>
    <row r="51" spans="3:14" ht="12.75" hidden="1">
      <c r="C51" s="303"/>
      <c r="D51" s="304"/>
      <c r="E51" s="304"/>
      <c r="F51" s="303"/>
      <c r="G51" s="304"/>
      <c r="H51" s="304"/>
      <c r="I51" s="304"/>
      <c r="J51" s="304"/>
      <c r="K51" s="305"/>
      <c r="L51" s="302"/>
      <c r="M51" s="302"/>
      <c r="N51" s="306"/>
    </row>
    <row r="52" spans="3:13" ht="12.75" hidden="1">
      <c r="C52" s="303"/>
      <c r="D52" s="304"/>
      <c r="E52" s="304"/>
      <c r="F52" s="303"/>
      <c r="G52" s="304"/>
      <c r="H52" s="304"/>
      <c r="I52" s="304"/>
      <c r="J52" s="304"/>
      <c r="K52" s="306"/>
      <c r="L52" s="306"/>
      <c r="M52" s="302"/>
    </row>
    <row r="53" spans="3:10" ht="21">
      <c r="C53" s="249" t="s">
        <v>179</v>
      </c>
      <c r="D53" s="307">
        <f>MAX(J33:J52)</f>
        <v>4550000</v>
      </c>
      <c r="E53" s="249" t="s">
        <v>180</v>
      </c>
      <c r="F53" s="308"/>
      <c r="G53" s="309"/>
      <c r="H53" s="308"/>
      <c r="I53" s="308"/>
      <c r="J53" s="310"/>
    </row>
    <row r="54" spans="3:10" ht="21">
      <c r="C54" s="311" t="s">
        <v>181</v>
      </c>
      <c r="D54" s="309">
        <f>IF(D53=J33,C33,IF(D53=J35,C35,IF(D53=J37,C37,IF(D53=J39,C39,IF(D53=J41,C41,IF(D53=J43,C43,IF(D53=J45,C45,IF(D53=J47,C47,"ingen"))))))))</f>
        <v>1850</v>
      </c>
      <c r="E54" s="309"/>
      <c r="F54" s="308"/>
      <c r="G54" s="309"/>
      <c r="H54" s="308"/>
      <c r="I54" s="308"/>
      <c r="J54" s="310"/>
    </row>
    <row r="55" spans="3:10" ht="21">
      <c r="C55" s="311" t="s">
        <v>182</v>
      </c>
      <c r="D55" s="309">
        <f>IF(D53=J33,D33,IF(D53=J35,D35,IF(D53=J37,D37,IF(D53=J39,D39,IF(D53=J41,D41,IF(D53=J43,D43,IF(D53=J45,D45,IF(D53=J47,D47,"ingen"))))))))</f>
        <v>7000</v>
      </c>
      <c r="E55" s="309"/>
      <c r="F55" s="308"/>
      <c r="G55" s="309"/>
      <c r="H55" s="308"/>
      <c r="I55" s="308"/>
      <c r="J55" s="310"/>
    </row>
    <row r="56" ht="12.75"/>
    <row r="57" ht="17.25" hidden="1">
      <c r="C57" s="250"/>
    </row>
    <row r="58" spans="3:4" ht="15.75">
      <c r="C58" s="251" t="s">
        <v>161</v>
      </c>
      <c r="D58" s="324" t="s">
        <v>218</v>
      </c>
    </row>
    <row r="59" spans="3:5" ht="16.5" thickBot="1">
      <c r="C59" s="251" t="s">
        <v>163</v>
      </c>
      <c r="D59" s="324">
        <v>1</v>
      </c>
      <c r="E59" s="249" t="s">
        <v>164</v>
      </c>
    </row>
    <row r="60" spans="1:15" ht="30.75" thickBot="1">
      <c r="A60" s="313" t="str">
        <f>A32</f>
        <v>Navn</v>
      </c>
      <c r="B60" s="253" t="str">
        <f>B32</f>
        <v>Nr.</v>
      </c>
      <c r="C60" s="254" t="s">
        <v>167</v>
      </c>
      <c r="D60" s="255" t="s">
        <v>168</v>
      </c>
      <c r="E60" s="255" t="s">
        <v>28</v>
      </c>
      <c r="F60" s="255" t="s">
        <v>169</v>
      </c>
      <c r="G60" s="255" t="s">
        <v>170</v>
      </c>
      <c r="H60" s="255" t="s">
        <v>171</v>
      </c>
      <c r="I60" s="255" t="s">
        <v>172</v>
      </c>
      <c r="J60" s="256" t="s">
        <v>173</v>
      </c>
      <c r="K60" s="257" t="s">
        <v>174</v>
      </c>
      <c r="L60" s="258" t="s">
        <v>175</v>
      </c>
      <c r="M60" s="259" t="s">
        <v>176</v>
      </c>
      <c r="N60" s="260" t="s">
        <v>177</v>
      </c>
      <c r="O60" s="261" t="s">
        <v>184</v>
      </c>
    </row>
    <row r="61" spans="1:15" ht="13.5" thickBot="1">
      <c r="A61" s="262" t="str">
        <f>IF(C61=0,0,CONCATENATE(B61," ",$D$58))</f>
        <v>1 Sverige</v>
      </c>
      <c r="B61" s="263">
        <f>B33</f>
        <v>1</v>
      </c>
      <c r="C61" s="325">
        <v>1200</v>
      </c>
      <c r="D61" s="326">
        <v>5000</v>
      </c>
      <c r="E61" s="266">
        <f>D61*C61</f>
        <v>6000000</v>
      </c>
      <c r="F61" s="327">
        <v>800</v>
      </c>
      <c r="G61" s="266">
        <f>F61*D61</f>
        <v>4000000</v>
      </c>
      <c r="H61" s="268">
        <f>E61-G61</f>
        <v>2000000</v>
      </c>
      <c r="I61" s="328">
        <v>0</v>
      </c>
      <c r="J61" s="270">
        <f>H61-I61</f>
        <v>2000000</v>
      </c>
      <c r="K61" s="271">
        <f>C61-F61</f>
        <v>400</v>
      </c>
      <c r="L61" s="272">
        <f>D61/$D$59</f>
        <v>5000</v>
      </c>
      <c r="M61" s="273">
        <f>IF(L61=0,0,H61/L61)</f>
        <v>400</v>
      </c>
      <c r="N61" s="274">
        <f>IF(L61=0,0,H61/L61)</f>
        <v>400</v>
      </c>
      <c r="O61" s="275">
        <f>L61</f>
        <v>5000</v>
      </c>
    </row>
    <row r="62" spans="1:15" ht="13.5" thickBot="1">
      <c r="A62" s="276"/>
      <c r="B62" s="277"/>
      <c r="C62" s="329"/>
      <c r="D62" s="330"/>
      <c r="E62" s="280"/>
      <c r="F62" s="329"/>
      <c r="G62" s="280"/>
      <c r="H62" s="281"/>
      <c r="I62" s="331"/>
      <c r="J62" s="283"/>
      <c r="K62" s="277"/>
      <c r="L62" s="277"/>
      <c r="M62" s="284"/>
      <c r="N62" s="262">
        <f>IF(L63=0,0,(H63-H61)/(L63-L61))</f>
        <v>0</v>
      </c>
      <c r="O62" s="262">
        <f>IF(L63-L61&lt;0,0,L63-L61)</f>
        <v>0</v>
      </c>
    </row>
    <row r="63" spans="1:15" ht="13.5" thickBot="1">
      <c r="A63" s="262">
        <f>IF(C63=0,0,CONCATENATE(B63," ",$D$58))</f>
        <v>0</v>
      </c>
      <c r="B63" s="263">
        <f>B35</f>
        <v>2</v>
      </c>
      <c r="C63" s="327">
        <v>0</v>
      </c>
      <c r="D63" s="332">
        <v>0</v>
      </c>
      <c r="E63" s="286">
        <f>D63*C63</f>
        <v>0</v>
      </c>
      <c r="F63" s="287">
        <f>IF(C63=0,0,$F$61)</f>
        <v>0</v>
      </c>
      <c r="G63" s="286">
        <f>F63*D63</f>
        <v>0</v>
      </c>
      <c r="H63" s="288">
        <f>E63-G63</f>
        <v>0</v>
      </c>
      <c r="I63" s="289">
        <f>IF(C63=0,0,$I$61)</f>
        <v>0</v>
      </c>
      <c r="J63" s="290">
        <f>H63-I63</f>
        <v>0</v>
      </c>
      <c r="K63" s="271">
        <f>C63-F63</f>
        <v>0</v>
      </c>
      <c r="L63" s="272">
        <f>D63/$D$59</f>
        <v>0</v>
      </c>
      <c r="M63" s="273">
        <f>IF(L63=0,0,H63/L63)</f>
        <v>0</v>
      </c>
      <c r="N63" s="291"/>
      <c r="O63" s="276"/>
    </row>
    <row r="64" spans="1:15" ht="13.5" thickBot="1">
      <c r="A64" s="276"/>
      <c r="B64" s="277"/>
      <c r="C64" s="329"/>
      <c r="D64" s="330"/>
      <c r="E64" s="280"/>
      <c r="F64" s="292"/>
      <c r="G64" s="280"/>
      <c r="H64" s="281"/>
      <c r="I64" s="293"/>
      <c r="J64" s="283"/>
      <c r="K64" s="277"/>
      <c r="L64" s="277"/>
      <c r="M64" s="284"/>
      <c r="N64" s="262">
        <f>IF(L65=0,0,(H65-H63)/(L65-L63))</f>
        <v>0</v>
      </c>
      <c r="O64" s="262">
        <f>IF(L65-L63&lt;0,0,L65-L63)</f>
        <v>0</v>
      </c>
    </row>
    <row r="65" spans="1:15" ht="13.5" customHeight="1" thickBot="1">
      <c r="A65" s="262">
        <f>IF(C65=0,0,CONCATENATE(B65," ",$D$58))</f>
        <v>0</v>
      </c>
      <c r="B65" s="263">
        <f>B37</f>
        <v>3</v>
      </c>
      <c r="C65" s="327">
        <v>0</v>
      </c>
      <c r="D65" s="332">
        <v>0</v>
      </c>
      <c r="E65" s="286">
        <f>D65*C65</f>
        <v>0</v>
      </c>
      <c r="F65" s="287">
        <f>IF(C65=0,0,$F$61)</f>
        <v>0</v>
      </c>
      <c r="G65" s="286">
        <f>F65*D65</f>
        <v>0</v>
      </c>
      <c r="H65" s="288">
        <f>E65-G65</f>
        <v>0</v>
      </c>
      <c r="I65" s="289">
        <f>IF(C65=0,0,$I$61)</f>
        <v>0</v>
      </c>
      <c r="J65" s="290">
        <f>H65-I65</f>
        <v>0</v>
      </c>
      <c r="K65" s="271">
        <f>C65-F65</f>
        <v>0</v>
      </c>
      <c r="L65" s="272">
        <f>D65/$D$59</f>
        <v>0</v>
      </c>
      <c r="M65" s="273">
        <f>IF(L65=0,0,H65/L65)</f>
        <v>0</v>
      </c>
      <c r="N65" s="291"/>
      <c r="O65" s="276"/>
    </row>
    <row r="66" spans="1:15" ht="13.5" customHeight="1" thickBot="1">
      <c r="A66" s="276"/>
      <c r="B66" s="277"/>
      <c r="C66" s="329"/>
      <c r="D66" s="330"/>
      <c r="E66" s="280"/>
      <c r="F66" s="292"/>
      <c r="G66" s="280"/>
      <c r="H66" s="281"/>
      <c r="I66" s="293"/>
      <c r="J66" s="283"/>
      <c r="K66" s="277"/>
      <c r="L66" s="277"/>
      <c r="M66" s="284"/>
      <c r="N66" s="262">
        <f>IF(L67=0,0,(H67-H65)/(L67-L65))</f>
        <v>0</v>
      </c>
      <c r="O66" s="262">
        <f>IF(L67-L65&lt;0,0,L67-L65)</f>
        <v>0</v>
      </c>
    </row>
    <row r="67" spans="1:15" ht="13.5" customHeight="1" thickBot="1">
      <c r="A67" s="262">
        <f>IF(C67=0,0,CONCATENATE(B67," ",$D$58))</f>
        <v>0</v>
      </c>
      <c r="B67" s="263">
        <f>B39</f>
        <v>4</v>
      </c>
      <c r="C67" s="327">
        <v>0</v>
      </c>
      <c r="D67" s="332">
        <v>0</v>
      </c>
      <c r="E67" s="286">
        <f>D67*C67</f>
        <v>0</v>
      </c>
      <c r="F67" s="287">
        <f>IF(C67=0,0,$F$61)</f>
        <v>0</v>
      </c>
      <c r="G67" s="286">
        <f>F67*D67</f>
        <v>0</v>
      </c>
      <c r="H67" s="288">
        <f>E67-G67</f>
        <v>0</v>
      </c>
      <c r="I67" s="289">
        <f>IF(C67=0,0,$I$61)</f>
        <v>0</v>
      </c>
      <c r="J67" s="290">
        <f>H67-I67</f>
        <v>0</v>
      </c>
      <c r="K67" s="271">
        <f>C67-F67</f>
        <v>0</v>
      </c>
      <c r="L67" s="272">
        <f>D67/$D$59</f>
        <v>0</v>
      </c>
      <c r="M67" s="273">
        <f>IF(L67=0,0,H67/L67)</f>
        <v>0</v>
      </c>
      <c r="N67" s="291"/>
      <c r="O67" s="276"/>
    </row>
    <row r="68" spans="1:15" ht="13.5" customHeight="1" thickBot="1">
      <c r="A68" s="276"/>
      <c r="B68" s="277"/>
      <c r="C68" s="329"/>
      <c r="D68" s="330"/>
      <c r="E68" s="280"/>
      <c r="F68" s="292"/>
      <c r="G68" s="280"/>
      <c r="H68" s="281"/>
      <c r="I68" s="293"/>
      <c r="J68" s="283"/>
      <c r="K68" s="277"/>
      <c r="L68" s="277"/>
      <c r="M68" s="284"/>
      <c r="N68" s="262">
        <f>IF(L69=0,0,(H69-H67)/(L69-L67))</f>
        <v>0</v>
      </c>
      <c r="O68" s="262">
        <f>IF(L69-L67&lt;0,0,L69-L67)</f>
        <v>0</v>
      </c>
    </row>
    <row r="69" spans="1:15" ht="13.5" customHeight="1" thickBot="1">
      <c r="A69" s="262">
        <f>IF(C69=0,0,CONCATENATE(B69," ",$D$58))</f>
        <v>0</v>
      </c>
      <c r="B69" s="263">
        <f>B41</f>
        <v>5</v>
      </c>
      <c r="C69" s="327">
        <v>0</v>
      </c>
      <c r="D69" s="332">
        <v>0</v>
      </c>
      <c r="E69" s="286">
        <f>D69*C69</f>
        <v>0</v>
      </c>
      <c r="F69" s="287">
        <f>IF(C69=0,0,$F$61)</f>
        <v>0</v>
      </c>
      <c r="G69" s="286">
        <f>F69*D69</f>
        <v>0</v>
      </c>
      <c r="H69" s="288">
        <f>E69-G69</f>
        <v>0</v>
      </c>
      <c r="I69" s="289">
        <f>IF(C69=0,0,$I$61)</f>
        <v>0</v>
      </c>
      <c r="J69" s="290">
        <f>H69-I69</f>
        <v>0</v>
      </c>
      <c r="K69" s="271">
        <f>C69-F69</f>
        <v>0</v>
      </c>
      <c r="L69" s="272">
        <f>D69/$D$59</f>
        <v>0</v>
      </c>
      <c r="M69" s="273">
        <f>IF(L69=0,0,H69/L69)</f>
        <v>0</v>
      </c>
      <c r="N69" s="291"/>
      <c r="O69" s="276"/>
    </row>
    <row r="70" spans="1:15" ht="13.5" customHeight="1" thickBot="1">
      <c r="A70" s="276"/>
      <c r="B70" s="277"/>
      <c r="C70" s="329"/>
      <c r="D70" s="330"/>
      <c r="E70" s="280"/>
      <c r="F70" s="292"/>
      <c r="G70" s="280"/>
      <c r="H70" s="281"/>
      <c r="I70" s="293"/>
      <c r="J70" s="283"/>
      <c r="K70" s="277"/>
      <c r="L70" s="277"/>
      <c r="M70" s="284"/>
      <c r="N70" s="262">
        <f>IF(L71=0,0,(H71-H69)/(L71-L69))</f>
        <v>0</v>
      </c>
      <c r="O70" s="262">
        <f>IF(L71-L69&lt;0,0,L71-L69)</f>
        <v>0</v>
      </c>
    </row>
    <row r="71" spans="1:15" ht="13.5" customHeight="1" thickBot="1">
      <c r="A71" s="262">
        <f>IF(C71=0,0,CONCATENATE(B71," ",$D$58))</f>
        <v>0</v>
      </c>
      <c r="B71" s="263">
        <f>B43</f>
        <v>6</v>
      </c>
      <c r="C71" s="327">
        <v>0</v>
      </c>
      <c r="D71" s="332">
        <v>0</v>
      </c>
      <c r="E71" s="286">
        <f>D71*C71</f>
        <v>0</v>
      </c>
      <c r="F71" s="287">
        <f>IF(C71=0,0,$F$61)</f>
        <v>0</v>
      </c>
      <c r="G71" s="286">
        <f>F71*D71</f>
        <v>0</v>
      </c>
      <c r="H71" s="288">
        <f>E71-G71</f>
        <v>0</v>
      </c>
      <c r="I71" s="289">
        <f>IF(C71=0,0,$I$61)</f>
        <v>0</v>
      </c>
      <c r="J71" s="290">
        <f>H71-I71</f>
        <v>0</v>
      </c>
      <c r="K71" s="271">
        <f>C71-F71</f>
        <v>0</v>
      </c>
      <c r="L71" s="272">
        <f>D71/$D$59</f>
        <v>0</v>
      </c>
      <c r="M71" s="273">
        <f>IF(L71=0,0,H71/L71)</f>
        <v>0</v>
      </c>
      <c r="N71" s="291"/>
      <c r="O71" s="276"/>
    </row>
    <row r="72" spans="1:15" ht="13.5" customHeight="1" thickBot="1">
      <c r="A72" s="276"/>
      <c r="B72" s="277"/>
      <c r="C72" s="329"/>
      <c r="D72" s="330"/>
      <c r="E72" s="280"/>
      <c r="F72" s="292"/>
      <c r="G72" s="280"/>
      <c r="H72" s="281"/>
      <c r="I72" s="293"/>
      <c r="J72" s="283"/>
      <c r="K72" s="277"/>
      <c r="L72" s="277"/>
      <c r="M72" s="284"/>
      <c r="N72" s="262">
        <f>IF(L73=0,0,(H73-H71)/(L73-L71))</f>
        <v>0</v>
      </c>
      <c r="O72" s="262">
        <f>IF(L73-L71&lt;0,0,L73-L71)</f>
        <v>0</v>
      </c>
    </row>
    <row r="73" spans="1:15" ht="13.5" customHeight="1" thickBot="1">
      <c r="A73" s="262">
        <f>IF(C73=0,0,CONCATENATE(B73," ",$D$58))</f>
        <v>0</v>
      </c>
      <c r="B73" s="263">
        <f>B45</f>
        <v>7</v>
      </c>
      <c r="C73" s="327">
        <v>0</v>
      </c>
      <c r="D73" s="332">
        <v>0</v>
      </c>
      <c r="E73" s="286">
        <f>D73*C73</f>
        <v>0</v>
      </c>
      <c r="F73" s="287">
        <f>IF(C73=0,0,$F$61)</f>
        <v>0</v>
      </c>
      <c r="G73" s="286">
        <f>F73*D73</f>
        <v>0</v>
      </c>
      <c r="H73" s="288">
        <f>E73-G73</f>
        <v>0</v>
      </c>
      <c r="I73" s="289">
        <f>IF(C73=0,0,$I$61)</f>
        <v>0</v>
      </c>
      <c r="J73" s="290">
        <f>H73-I73</f>
        <v>0</v>
      </c>
      <c r="K73" s="271">
        <f>C73-F73</f>
        <v>0</v>
      </c>
      <c r="L73" s="272">
        <f>D73/$D$59</f>
        <v>0</v>
      </c>
      <c r="M73" s="273">
        <f>IF(L73=0,0,H73/L73)</f>
        <v>0</v>
      </c>
      <c r="N73" s="291"/>
      <c r="O73" s="276"/>
    </row>
    <row r="74" spans="1:15" ht="13.5" customHeight="1" thickBot="1">
      <c r="A74" s="276"/>
      <c r="B74" s="277"/>
      <c r="C74" s="333"/>
      <c r="D74" s="334"/>
      <c r="E74" s="297"/>
      <c r="F74" s="292"/>
      <c r="G74" s="297"/>
      <c r="H74" s="298"/>
      <c r="I74" s="293"/>
      <c r="J74" s="299"/>
      <c r="K74" s="277"/>
      <c r="L74" s="277"/>
      <c r="M74" s="284"/>
      <c r="N74" s="262">
        <f>IF(L75=0,0,(H75-H73)/(L75-L73))</f>
        <v>0</v>
      </c>
      <c r="O74" s="262">
        <f>IF(L75-L73&lt;0,0,L75-L73)</f>
        <v>0</v>
      </c>
    </row>
    <row r="75" spans="1:15" ht="13.5" customHeight="1" thickBot="1">
      <c r="A75" s="262">
        <f>IF(C75=0,0,CONCATENATE(B75," ",$D$58))</f>
        <v>0</v>
      </c>
      <c r="B75" s="263">
        <f>B47</f>
        <v>8</v>
      </c>
      <c r="C75" s="327">
        <v>0</v>
      </c>
      <c r="D75" s="332">
        <v>0</v>
      </c>
      <c r="E75" s="286">
        <f>D75*C75</f>
        <v>0</v>
      </c>
      <c r="F75" s="287">
        <f>IF(C75=0,0,$F$61)</f>
        <v>0</v>
      </c>
      <c r="G75" s="286">
        <f>F75*D75</f>
        <v>0</v>
      </c>
      <c r="H75" s="288">
        <f>E75-G75</f>
        <v>0</v>
      </c>
      <c r="I75" s="289">
        <f>IF(C75=0,0,$I$61)</f>
        <v>0</v>
      </c>
      <c r="J75" s="290">
        <f>H75-I75</f>
        <v>0</v>
      </c>
      <c r="K75" s="300">
        <f>C75-F75</f>
        <v>0</v>
      </c>
      <c r="L75" s="272">
        <f>D75/$D$59</f>
        <v>0</v>
      </c>
      <c r="M75" s="273">
        <f>IF(L75=0,0,H75/L75)</f>
        <v>0</v>
      </c>
      <c r="N75" s="291"/>
      <c r="O75" s="276"/>
    </row>
    <row r="76" spans="1:14" ht="13.5" customHeight="1" thickBot="1">
      <c r="A76" s="276"/>
      <c r="B76" s="277"/>
      <c r="C76" s="333"/>
      <c r="D76" s="334"/>
      <c r="E76" s="297"/>
      <c r="F76" s="294"/>
      <c r="G76" s="297"/>
      <c r="H76" s="298"/>
      <c r="I76" s="301"/>
      <c r="J76" s="299"/>
      <c r="K76" s="277"/>
      <c r="L76" s="277"/>
      <c r="M76" s="284"/>
      <c r="N76" s="302"/>
    </row>
    <row r="77" spans="3:14" ht="12.75" hidden="1">
      <c r="C77" s="303"/>
      <c r="D77" s="304"/>
      <c r="E77" s="304"/>
      <c r="F77" s="303"/>
      <c r="G77" s="304"/>
      <c r="H77" s="304"/>
      <c r="I77" s="304"/>
      <c r="J77" s="304"/>
      <c r="K77" s="305"/>
      <c r="L77" s="302"/>
      <c r="M77" s="302"/>
      <c r="N77" s="306"/>
    </row>
    <row r="78" spans="3:14" ht="12.75" hidden="1">
      <c r="C78" s="303"/>
      <c r="D78" s="304"/>
      <c r="E78" s="304"/>
      <c r="F78" s="303"/>
      <c r="G78" s="304"/>
      <c r="H78" s="304"/>
      <c r="I78" s="304"/>
      <c r="J78" s="304"/>
      <c r="K78" s="306"/>
      <c r="L78" s="306"/>
      <c r="M78" s="302"/>
      <c r="N78" s="302"/>
    </row>
    <row r="79" spans="3:14" ht="12.75" hidden="1">
      <c r="C79" s="303"/>
      <c r="D79" s="304"/>
      <c r="E79" s="304"/>
      <c r="F79" s="303"/>
      <c r="G79" s="304"/>
      <c r="H79" s="304"/>
      <c r="I79" s="304"/>
      <c r="J79" s="304"/>
      <c r="K79" s="305"/>
      <c r="L79" s="302"/>
      <c r="M79" s="302"/>
      <c r="N79" s="306"/>
    </row>
    <row r="80" spans="3:13" ht="12.75" hidden="1">
      <c r="C80" s="303"/>
      <c r="D80" s="304"/>
      <c r="E80" s="304"/>
      <c r="F80" s="303"/>
      <c r="G80" s="304"/>
      <c r="H80" s="304"/>
      <c r="I80" s="304"/>
      <c r="J80" s="304"/>
      <c r="K80" s="306"/>
      <c r="L80" s="306"/>
      <c r="M80" s="302"/>
    </row>
    <row r="81" spans="3:10" ht="21">
      <c r="C81" s="249" t="s">
        <v>179</v>
      </c>
      <c r="D81" s="307">
        <f>MAX(J61:J80)</f>
        <v>2000000</v>
      </c>
      <c r="E81" s="249" t="s">
        <v>180</v>
      </c>
      <c r="F81" s="308"/>
      <c r="G81" s="309"/>
      <c r="H81" s="308"/>
      <c r="I81" s="308"/>
      <c r="J81" s="310"/>
    </row>
    <row r="82" spans="3:10" ht="21">
      <c r="C82" s="311" t="s">
        <v>181</v>
      </c>
      <c r="D82" s="309">
        <f>IF(D81=J61,C61,IF(D81=J63,C63,IF(D81=J65,C65,IF(D81=J67,C67,IF(D81=J69,C69,IF(D81=J71,C71,IF(D81=J73,C73,IF(D81=J75,C75,"ingen"))))))))</f>
        <v>1200</v>
      </c>
      <c r="E82" s="309"/>
      <c r="F82" s="308"/>
      <c r="G82" s="309"/>
      <c r="H82" s="308"/>
      <c r="I82" s="308"/>
      <c r="J82" s="310"/>
    </row>
    <row r="83" spans="3:10" ht="21">
      <c r="C83" s="311" t="s">
        <v>182</v>
      </c>
      <c r="D83" s="309">
        <f>IF(D81=J61,D61,IF(D81=J63,D63,IF(D81=J65,D65,IF(D81=J67,D67,IF(D81=J69,D69,IF(D81=J71,D71,IF(D81=J73,D73,IF(D81=J75,D75,"ingen"))))))))</f>
        <v>5000</v>
      </c>
      <c r="E83" s="309"/>
      <c r="F83" s="308"/>
      <c r="G83" s="309"/>
      <c r="H83" s="308"/>
      <c r="I83" s="308"/>
      <c r="J83" s="310"/>
    </row>
    <row r="84" spans="6:10" ht="21">
      <c r="F84" s="308"/>
      <c r="G84" s="309"/>
      <c r="H84" s="308"/>
      <c r="I84" s="308"/>
      <c r="J84" s="310"/>
    </row>
    <row r="85" spans="3:14" ht="18">
      <c r="C85" s="335" t="s">
        <v>185</v>
      </c>
      <c r="D85" s="335"/>
      <c r="E85" s="335"/>
      <c r="F85" s="335"/>
      <c r="G85" s="335"/>
      <c r="H85" s="335"/>
      <c r="I85" s="336"/>
      <c r="J85" s="336"/>
      <c r="K85" s="336"/>
      <c r="L85" s="336"/>
      <c r="M85" s="336"/>
      <c r="N85" s="336"/>
    </row>
    <row r="86" spans="3:14" ht="21">
      <c r="C86" s="311" t="s">
        <v>186</v>
      </c>
      <c r="D86" s="337">
        <f>8000+5000+8000</f>
        <v>21000</v>
      </c>
      <c r="E86" s="309" t="s">
        <v>187</v>
      </c>
      <c r="F86" s="338"/>
      <c r="G86" s="338"/>
      <c r="H86" s="338"/>
      <c r="I86" s="336"/>
      <c r="J86" s="336"/>
      <c r="K86" s="336"/>
      <c r="L86" s="336"/>
      <c r="M86" s="336"/>
      <c r="N86" s="338"/>
    </row>
    <row r="87" spans="3:14" ht="54">
      <c r="C87" s="338" t="s">
        <v>188</v>
      </c>
      <c r="D87" s="338" t="s">
        <v>189</v>
      </c>
      <c r="E87" s="338" t="s">
        <v>190</v>
      </c>
      <c r="F87" s="339" t="s">
        <v>191</v>
      </c>
      <c r="G87" s="339" t="s">
        <v>192</v>
      </c>
      <c r="H87" s="338" t="s">
        <v>193</v>
      </c>
      <c r="I87" s="336"/>
      <c r="J87" s="336"/>
      <c r="K87" s="336"/>
      <c r="L87" s="336"/>
      <c r="M87" s="336"/>
      <c r="N87" s="338"/>
    </row>
    <row r="88" spans="3:13" ht="12.75" customHeight="1">
      <c r="C88" s="340" t="s">
        <v>194</v>
      </c>
      <c r="D88" s="341">
        <f>'opg 1.3 løsningstabel'!F2</f>
        <v>1300</v>
      </c>
      <c r="E88" s="340" t="str">
        <f>'opg 1.3 løsningstabel'!G2</f>
        <v>1 Dk</v>
      </c>
      <c r="F88" s="340">
        <f>'opg 1.3 løsningstabel'!H2</f>
        <v>1000</v>
      </c>
      <c r="G88" s="340">
        <f>F88</f>
        <v>1000</v>
      </c>
      <c r="H88" s="340" t="str">
        <f>IF(G88&lt;=$D$86,"Ja","Nej")</f>
        <v>Ja</v>
      </c>
      <c r="I88" s="336"/>
      <c r="J88" s="336"/>
      <c r="K88" s="336"/>
      <c r="L88" s="336"/>
      <c r="M88" s="336"/>
    </row>
    <row r="89" spans="3:13" ht="12.75" customHeight="1">
      <c r="C89" s="340"/>
      <c r="D89" s="341"/>
      <c r="E89" s="340"/>
      <c r="F89" s="340"/>
      <c r="G89" s="340"/>
      <c r="H89" s="340"/>
      <c r="I89" s="336"/>
      <c r="J89" s="336"/>
      <c r="K89" s="336"/>
      <c r="L89" s="336"/>
      <c r="M89" s="336"/>
    </row>
    <row r="90" spans="3:13" ht="12.75" customHeight="1">
      <c r="C90" s="340" t="s">
        <v>195</v>
      </c>
      <c r="D90" s="341">
        <f>'opg 1.3 løsningstabel'!F3</f>
        <v>1100</v>
      </c>
      <c r="E90" s="340" t="str">
        <f>'opg 1.3 løsningstabel'!G3</f>
        <v>2 Dk</v>
      </c>
      <c r="F90" s="340">
        <f>'opg 1.3 løsningstabel'!H3</f>
        <v>1000</v>
      </c>
      <c r="G90" s="340">
        <f>G88+F90</f>
        <v>2000</v>
      </c>
      <c r="H90" s="340" t="str">
        <f>IF(G90&lt;=$D$86,"Ja","Nej")</f>
        <v>Ja</v>
      </c>
      <c r="I90" s="336"/>
      <c r="J90" s="336"/>
      <c r="K90" s="336"/>
      <c r="L90" s="336"/>
      <c r="M90" s="336"/>
    </row>
    <row r="91" spans="3:13" ht="12.75" customHeight="1">
      <c r="C91" s="340"/>
      <c r="D91" s="341"/>
      <c r="E91" s="340"/>
      <c r="F91" s="340"/>
      <c r="G91" s="340"/>
      <c r="H91" s="340"/>
      <c r="I91" s="336"/>
      <c r="J91" s="336"/>
      <c r="K91" s="336"/>
      <c r="L91" s="336"/>
      <c r="M91" s="336"/>
    </row>
    <row r="92" spans="3:13" ht="12.75" customHeight="1">
      <c r="C92" s="340" t="s">
        <v>196</v>
      </c>
      <c r="D92" s="341">
        <f>'opg 1.3 løsningstabel'!F4</f>
        <v>950</v>
      </c>
      <c r="E92" s="340" t="str">
        <f>'opg 1.3 løsningstabel'!G4</f>
        <v>1 Tysk</v>
      </c>
      <c r="F92" s="340">
        <f>'opg 1.3 løsningstabel'!H4</f>
        <v>1000</v>
      </c>
      <c r="G92" s="340">
        <f>G90+F92</f>
        <v>3000</v>
      </c>
      <c r="H92" s="340" t="str">
        <f>IF(G92&lt;=$D$86,"Ja","Nej")</f>
        <v>Ja</v>
      </c>
      <c r="I92" s="336"/>
      <c r="J92" s="336"/>
      <c r="K92" s="336"/>
      <c r="L92" s="336"/>
      <c r="M92" s="336"/>
    </row>
    <row r="93" spans="3:13" ht="12.75" customHeight="1">
      <c r="C93" s="340"/>
      <c r="D93" s="341"/>
      <c r="E93" s="340"/>
      <c r="F93" s="340"/>
      <c r="G93" s="340"/>
      <c r="H93" s="340"/>
      <c r="I93" s="336"/>
      <c r="J93" s="336"/>
      <c r="K93" s="336"/>
      <c r="L93" s="336"/>
      <c r="M93" s="336"/>
    </row>
    <row r="94" spans="3:13" ht="12.75" customHeight="1">
      <c r="C94" s="340" t="s">
        <v>197</v>
      </c>
      <c r="D94" s="341">
        <f>'opg 1.3 løsningstabel'!F5</f>
        <v>900</v>
      </c>
      <c r="E94" s="340" t="str">
        <f>'opg 1.3 løsningstabel'!G5</f>
        <v>3 Dk</v>
      </c>
      <c r="F94" s="340">
        <f>'opg 1.3 løsningstabel'!H5</f>
        <v>1000</v>
      </c>
      <c r="G94" s="340">
        <f>G92+F94</f>
        <v>4000</v>
      </c>
      <c r="H94" s="340" t="str">
        <f>IF(G94&lt;=$D$86,"Ja","Nej")</f>
        <v>Ja</v>
      </c>
      <c r="I94" s="336"/>
      <c r="J94" s="336"/>
      <c r="K94" s="336"/>
      <c r="L94" s="336"/>
      <c r="M94" s="336"/>
    </row>
    <row r="95" spans="3:13" ht="12.75" customHeight="1">
      <c r="C95" s="340"/>
      <c r="D95" s="341"/>
      <c r="E95" s="340"/>
      <c r="F95" s="340"/>
      <c r="G95" s="340"/>
      <c r="H95" s="340"/>
      <c r="I95" s="336"/>
      <c r="J95" s="336"/>
      <c r="K95" s="336"/>
      <c r="L95" s="336"/>
      <c r="M95" s="336"/>
    </row>
    <row r="96" spans="3:13" ht="12.75" customHeight="1">
      <c r="C96" s="340" t="s">
        <v>198</v>
      </c>
      <c r="D96" s="341">
        <f>'opg 1.3 løsningstabel'!F6</f>
        <v>850</v>
      </c>
      <c r="E96" s="340" t="str">
        <f>'opg 1.3 løsningstabel'!G6</f>
        <v>2 Tysk</v>
      </c>
      <c r="F96" s="340">
        <f>'opg 1.3 løsningstabel'!H6</f>
        <v>1000</v>
      </c>
      <c r="G96" s="340">
        <f>G94+F96</f>
        <v>5000</v>
      </c>
      <c r="H96" s="340" t="str">
        <f>IF(G96&lt;=$D$86,"Ja","Nej")</f>
        <v>Ja</v>
      </c>
      <c r="I96" s="336"/>
      <c r="J96" s="336"/>
      <c r="K96" s="336"/>
      <c r="L96" s="336"/>
      <c r="M96" s="336"/>
    </row>
    <row r="97" spans="3:13" ht="12.75" customHeight="1">
      <c r="C97" s="340"/>
      <c r="D97" s="341"/>
      <c r="E97" s="340"/>
      <c r="F97" s="340"/>
      <c r="G97" s="340"/>
      <c r="H97" s="340"/>
      <c r="I97" s="336"/>
      <c r="J97" s="336"/>
      <c r="K97" s="336"/>
      <c r="L97" s="336"/>
      <c r="M97" s="336"/>
    </row>
    <row r="98" spans="3:13" ht="12.75" customHeight="1">
      <c r="C98" s="340" t="s">
        <v>199</v>
      </c>
      <c r="D98" s="341">
        <f>'opg 1.3 løsningstabel'!F7</f>
        <v>750</v>
      </c>
      <c r="E98" s="340" t="str">
        <f>'opg 1.3 løsningstabel'!G7</f>
        <v>3 Tysk</v>
      </c>
      <c r="F98" s="340">
        <f>'opg 1.3 løsningstabel'!H7</f>
        <v>1000</v>
      </c>
      <c r="G98" s="340">
        <f>G96+F98</f>
        <v>6000</v>
      </c>
      <c r="H98" s="340" t="str">
        <f>IF(G98&lt;=$D$86,"Ja","Nej")</f>
        <v>Ja</v>
      </c>
      <c r="I98" s="336"/>
      <c r="J98" s="336"/>
      <c r="K98" s="336"/>
      <c r="L98" s="336"/>
      <c r="M98" s="336"/>
    </row>
    <row r="99" spans="3:13" ht="12.75" customHeight="1">
      <c r="C99" s="340"/>
      <c r="D99" s="341"/>
      <c r="E99" s="340"/>
      <c r="F99" s="340"/>
      <c r="G99" s="340"/>
      <c r="H99" s="340"/>
      <c r="I99" s="336"/>
      <c r="J99" s="336"/>
      <c r="K99" s="336"/>
      <c r="L99" s="336"/>
      <c r="M99" s="336"/>
    </row>
    <row r="100" spans="3:13" ht="12.75" customHeight="1">
      <c r="C100" s="340" t="s">
        <v>200</v>
      </c>
      <c r="D100" s="341">
        <f>'opg 1.3 løsningstabel'!F8</f>
        <v>700</v>
      </c>
      <c r="E100" s="340" t="str">
        <f>'opg 1.3 løsningstabel'!G8</f>
        <v>4 Tysk</v>
      </c>
      <c r="F100" s="340">
        <f>'opg 1.3 løsningstabel'!H8</f>
        <v>1000</v>
      </c>
      <c r="G100" s="340">
        <f>G98+F100</f>
        <v>7000</v>
      </c>
      <c r="H100" s="340" t="str">
        <f>IF(G100&lt;=$D$86,"Ja","Nej")</f>
        <v>Ja</v>
      </c>
      <c r="I100" s="336"/>
      <c r="J100" s="336"/>
      <c r="K100" s="336"/>
      <c r="L100" s="336"/>
      <c r="M100" s="336"/>
    </row>
    <row r="101" spans="3:13" ht="12.75" customHeight="1">
      <c r="C101" s="340"/>
      <c r="D101" s="341"/>
      <c r="E101" s="340"/>
      <c r="F101" s="340"/>
      <c r="G101" s="340"/>
      <c r="H101" s="340"/>
      <c r="I101" s="336"/>
      <c r="J101" s="336"/>
      <c r="K101" s="336"/>
      <c r="L101" s="336"/>
      <c r="M101" s="336"/>
    </row>
    <row r="102" spans="3:13" ht="12.75" customHeight="1">
      <c r="C102" s="340" t="s">
        <v>201</v>
      </c>
      <c r="D102" s="341">
        <f>'opg 1.3 løsningstabel'!F9</f>
        <v>650</v>
      </c>
      <c r="E102" s="340" t="str">
        <f>'opg 1.3 løsningstabel'!G9</f>
        <v>4 Tysk</v>
      </c>
      <c r="F102" s="340">
        <f>'opg 1.3 løsningstabel'!H9</f>
        <v>1000</v>
      </c>
      <c r="G102" s="340">
        <f>G100+F102</f>
        <v>8000</v>
      </c>
      <c r="H102" s="340" t="str">
        <f>IF(G102&lt;=$D$86,"Ja","Nej")</f>
        <v>Ja</v>
      </c>
      <c r="I102" s="336"/>
      <c r="J102" s="336"/>
      <c r="K102" s="336"/>
      <c r="L102" s="336"/>
      <c r="M102" s="336"/>
    </row>
    <row r="103" spans="3:13" ht="12.75" customHeight="1">
      <c r="C103" s="340"/>
      <c r="D103" s="341"/>
      <c r="E103" s="340"/>
      <c r="F103" s="340"/>
      <c r="G103" s="340"/>
      <c r="H103" s="340"/>
      <c r="I103" s="336"/>
      <c r="J103" s="336"/>
      <c r="K103" s="336"/>
      <c r="L103" s="336"/>
      <c r="M103" s="336"/>
    </row>
    <row r="104" spans="3:13" ht="12.75" customHeight="1">
      <c r="C104" s="340" t="s">
        <v>202</v>
      </c>
      <c r="D104" s="341">
        <f>'opg 1.3 løsningstabel'!F10</f>
        <v>550</v>
      </c>
      <c r="E104" s="340" t="str">
        <f>'opg 1.3 løsningstabel'!G10</f>
        <v>5 Tysk</v>
      </c>
      <c r="F104" s="340">
        <f>'opg 1.3 løsningstabel'!H10</f>
        <v>1000</v>
      </c>
      <c r="G104" s="340">
        <f>G102+F104</f>
        <v>9000</v>
      </c>
      <c r="H104" s="340" t="str">
        <f>IF(G104&lt;=$D$86,"Ja","Nej")</f>
        <v>Ja</v>
      </c>
      <c r="I104" s="336"/>
      <c r="J104" s="336"/>
      <c r="K104" s="336"/>
      <c r="L104" s="336"/>
      <c r="M104" s="336"/>
    </row>
    <row r="105" spans="3:13" ht="12.75" customHeight="1">
      <c r="C105" s="340"/>
      <c r="D105" s="341"/>
      <c r="E105" s="340"/>
      <c r="F105" s="340"/>
      <c r="G105" s="340"/>
      <c r="H105" s="340"/>
      <c r="I105" s="336"/>
      <c r="J105" s="336"/>
      <c r="K105" s="336"/>
      <c r="L105" s="336"/>
      <c r="M105" s="336"/>
    </row>
    <row r="106" spans="3:13" ht="12.75" customHeight="1">
      <c r="C106" s="340" t="s">
        <v>203</v>
      </c>
      <c r="D106" s="341">
        <f>'opg 1.3 løsningstabel'!F11</f>
        <v>500</v>
      </c>
      <c r="E106" s="340" t="str">
        <f>'opg 1.3 løsningstabel'!G11</f>
        <v>5 Dk</v>
      </c>
      <c r="F106" s="340">
        <f>'opg 1.3 løsningstabel'!H11</f>
        <v>1000</v>
      </c>
      <c r="G106" s="340">
        <f>G104+F106</f>
        <v>10000</v>
      </c>
      <c r="H106" s="340" t="str">
        <f>IF(G106&lt;=$D$86,"Ja","Nej")</f>
        <v>Ja</v>
      </c>
      <c r="I106" s="336"/>
      <c r="J106" s="336"/>
      <c r="K106" s="336"/>
      <c r="L106" s="336"/>
      <c r="M106" s="336"/>
    </row>
    <row r="107" spans="3:13" ht="12.75" customHeight="1">
      <c r="C107" s="340"/>
      <c r="D107" s="341"/>
      <c r="E107" s="340"/>
      <c r="F107" s="340"/>
      <c r="G107" s="340"/>
      <c r="H107" s="340"/>
      <c r="I107" s="336"/>
      <c r="J107" s="336"/>
      <c r="K107" s="336"/>
      <c r="L107" s="336"/>
      <c r="M107" s="336"/>
    </row>
    <row r="108" spans="3:13" ht="12.75" customHeight="1">
      <c r="C108" s="340" t="s">
        <v>204</v>
      </c>
      <c r="D108" s="341">
        <f>'opg 1.3 løsningstabel'!F12</f>
        <v>450</v>
      </c>
      <c r="E108" s="340" t="str">
        <f>'opg 1.3 løsningstabel'!G12</f>
        <v>6 Tysk</v>
      </c>
      <c r="F108" s="340">
        <f>'opg 1.3 løsningstabel'!H12</f>
        <v>1000</v>
      </c>
      <c r="G108" s="340">
        <f>G106+F108</f>
        <v>11000</v>
      </c>
      <c r="H108" s="340" t="str">
        <f>IF(G108&lt;=$D$86,"Ja","Nej")</f>
        <v>Ja</v>
      </c>
      <c r="I108" s="336"/>
      <c r="J108" s="336"/>
      <c r="K108" s="336"/>
      <c r="L108" s="336"/>
      <c r="M108" s="336"/>
    </row>
    <row r="109" spans="3:13" ht="12.75" customHeight="1">
      <c r="C109" s="340"/>
      <c r="D109" s="341"/>
      <c r="E109" s="340"/>
      <c r="F109" s="340"/>
      <c r="G109" s="340"/>
      <c r="H109" s="340"/>
      <c r="I109" s="336"/>
      <c r="J109" s="336"/>
      <c r="K109" s="336"/>
      <c r="L109" s="336"/>
      <c r="M109" s="336"/>
    </row>
    <row r="110" spans="3:13" ht="12.75" customHeight="1">
      <c r="C110" s="340" t="s">
        <v>205</v>
      </c>
      <c r="D110" s="341">
        <f>'opg 1.3 løsningstabel'!F13</f>
        <v>400</v>
      </c>
      <c r="E110" s="340" t="str">
        <f>'opg 1.3 løsningstabel'!G13</f>
        <v>1 Sverige</v>
      </c>
      <c r="F110" s="340">
        <f>'opg 1.3 løsningstabel'!H13</f>
        <v>2000</v>
      </c>
      <c r="G110" s="340">
        <f>G108+F110</f>
        <v>13000</v>
      </c>
      <c r="H110" s="340" t="str">
        <f>IF(G110&lt;=$D$86,"Ja","Nej")</f>
        <v>Ja</v>
      </c>
      <c r="I110" s="336"/>
      <c r="J110" s="336"/>
      <c r="K110" s="336"/>
      <c r="L110" s="336"/>
      <c r="M110" s="336"/>
    </row>
    <row r="111" spans="3:13" ht="12.75" customHeight="1">
      <c r="C111" s="340"/>
      <c r="D111" s="341"/>
      <c r="E111" s="340"/>
      <c r="F111" s="340"/>
      <c r="G111" s="340"/>
      <c r="H111" s="340"/>
      <c r="I111" s="336"/>
      <c r="J111" s="336"/>
      <c r="K111" s="336"/>
      <c r="L111" s="336"/>
      <c r="M111" s="336"/>
    </row>
    <row r="112" spans="3:13" ht="12.75" customHeight="1">
      <c r="C112" s="342"/>
      <c r="D112" s="343"/>
      <c r="E112" s="342"/>
      <c r="F112" s="342"/>
      <c r="G112" s="342"/>
      <c r="H112" s="342"/>
      <c r="I112" s="336"/>
      <c r="J112" s="336"/>
      <c r="K112" s="336"/>
      <c r="L112" s="336"/>
      <c r="M112" s="336"/>
    </row>
    <row r="113" spans="1:13" ht="18">
      <c r="A113" s="335" t="s">
        <v>206</v>
      </c>
      <c r="B113" s="335"/>
      <c r="C113" s="335"/>
      <c r="D113" s="335"/>
      <c r="E113" s="335"/>
      <c r="F113" s="335"/>
      <c r="G113" s="335"/>
      <c r="H113" s="335"/>
      <c r="I113" s="336"/>
      <c r="J113" s="336"/>
      <c r="K113" s="336"/>
      <c r="L113" s="336"/>
      <c r="M113" s="336"/>
    </row>
    <row r="114" spans="1:13" ht="12.75" customHeight="1">
      <c r="A114" s="340" t="s">
        <v>207</v>
      </c>
      <c r="B114" s="340"/>
      <c r="C114" s="342" t="s">
        <v>167</v>
      </c>
      <c r="D114" s="342" t="s">
        <v>168</v>
      </c>
      <c r="E114" s="342" t="s">
        <v>28</v>
      </c>
      <c r="F114" s="342" t="s">
        <v>169</v>
      </c>
      <c r="G114" s="342" t="s">
        <v>170</v>
      </c>
      <c r="H114" s="342" t="s">
        <v>171</v>
      </c>
      <c r="I114" s="344" t="s">
        <v>208</v>
      </c>
      <c r="J114" s="344" t="s">
        <v>173</v>
      </c>
      <c r="K114" s="336"/>
      <c r="L114" s="336"/>
      <c r="M114" s="336"/>
    </row>
    <row r="115" spans="1:13" ht="12.75" customHeight="1">
      <c r="A115" s="340" t="str">
        <f>D2</f>
        <v>Dk</v>
      </c>
      <c r="B115" s="340"/>
      <c r="C115" s="87">
        <f>C13</f>
        <v>1700</v>
      </c>
      <c r="D115" s="87">
        <f aca="true" t="shared" si="0" ref="D115:J115">D13</f>
        <v>5000</v>
      </c>
      <c r="E115" s="87">
        <f t="shared" si="0"/>
        <v>8500000</v>
      </c>
      <c r="F115" s="87">
        <f t="shared" si="0"/>
        <v>800</v>
      </c>
      <c r="G115" s="87">
        <f t="shared" si="0"/>
        <v>4000000</v>
      </c>
      <c r="H115" s="87">
        <f t="shared" si="0"/>
        <v>4500000</v>
      </c>
      <c r="I115" s="87">
        <f t="shared" si="0"/>
        <v>0</v>
      </c>
      <c r="J115" s="87">
        <f t="shared" si="0"/>
        <v>4500000</v>
      </c>
      <c r="K115" s="336"/>
      <c r="L115" s="336"/>
      <c r="M115" s="336"/>
    </row>
    <row r="116" spans="1:13" ht="12.75" customHeight="1">
      <c r="A116" s="340" t="str">
        <f>D30</f>
        <v>Tysk</v>
      </c>
      <c r="B116" s="340"/>
      <c r="C116" s="87">
        <f>C43</f>
        <v>1900</v>
      </c>
      <c r="D116" s="87">
        <f aca="true" t="shared" si="1" ref="D116:J116">D43</f>
        <v>6000</v>
      </c>
      <c r="E116" s="87">
        <f t="shared" si="1"/>
        <v>11400000</v>
      </c>
      <c r="F116" s="87">
        <f t="shared" si="1"/>
        <v>1200</v>
      </c>
      <c r="G116" s="87">
        <f t="shared" si="1"/>
        <v>7200000</v>
      </c>
      <c r="H116" s="87">
        <f t="shared" si="1"/>
        <v>4200000</v>
      </c>
      <c r="I116" s="87">
        <f t="shared" si="1"/>
        <v>0</v>
      </c>
      <c r="J116" s="87">
        <f t="shared" si="1"/>
        <v>4200000</v>
      </c>
      <c r="K116" s="336"/>
      <c r="L116" s="336"/>
      <c r="M116" s="336"/>
    </row>
    <row r="117" spans="1:13" ht="12.75" customHeight="1">
      <c r="A117" s="340" t="str">
        <f>D58</f>
        <v>Sverige</v>
      </c>
      <c r="B117" s="340"/>
      <c r="C117" s="87">
        <f>C61</f>
        <v>1200</v>
      </c>
      <c r="D117" s="346">
        <v>2000</v>
      </c>
      <c r="E117" s="346">
        <f>D117*C117</f>
        <v>2400000</v>
      </c>
      <c r="F117" s="346">
        <v>800</v>
      </c>
      <c r="G117" s="346">
        <f>F117*D117</f>
        <v>1600000</v>
      </c>
      <c r="H117" s="346">
        <f>E117-G117</f>
        <v>800000</v>
      </c>
      <c r="I117" s="346"/>
      <c r="J117" s="378">
        <f>H117</f>
        <v>800000</v>
      </c>
      <c r="K117" s="336"/>
      <c r="L117" s="336"/>
      <c r="M117" s="336"/>
    </row>
    <row r="118" spans="1:13" ht="12.75" customHeight="1">
      <c r="A118" s="249" t="s">
        <v>210</v>
      </c>
      <c r="C118" s="347"/>
      <c r="D118" s="347"/>
      <c r="E118" s="347"/>
      <c r="F118" s="347"/>
      <c r="G118" s="347">
        <f>SUM(G115:G117)</f>
        <v>12800000</v>
      </c>
      <c r="H118" s="347">
        <f>SUM(H115:H117)</f>
        <v>9500000</v>
      </c>
      <c r="I118" s="347">
        <f>SUM(I115:I117)</f>
        <v>0</v>
      </c>
      <c r="J118" s="379">
        <f>SUM(J115:J117)</f>
        <v>9500000</v>
      </c>
      <c r="K118" s="336"/>
      <c r="L118" s="336"/>
      <c r="M118" s="336"/>
    </row>
    <row r="119" spans="1:13" ht="12.75" customHeight="1">
      <c r="A119" s="380" t="s">
        <v>219</v>
      </c>
      <c r="C119" s="342"/>
      <c r="D119" s="342">
        <v>5000</v>
      </c>
      <c r="E119" s="342">
        <v>290</v>
      </c>
      <c r="F119" s="342"/>
      <c r="G119" s="342"/>
      <c r="H119" s="342"/>
      <c r="I119" s="336"/>
      <c r="J119" s="379">
        <f>D119*E119</f>
        <v>1450000</v>
      </c>
      <c r="K119" s="336"/>
      <c r="L119" s="336"/>
      <c r="M119" s="336"/>
    </row>
    <row r="120" spans="1:13" ht="12.75" customHeight="1">
      <c r="A120" s="380" t="s">
        <v>220</v>
      </c>
      <c r="C120" s="342"/>
      <c r="D120" s="342"/>
      <c r="E120" s="342"/>
      <c r="F120" s="342"/>
      <c r="G120" s="342"/>
      <c r="H120" s="342"/>
      <c r="I120" s="336"/>
      <c r="J120" s="379">
        <f>J118-J119</f>
        <v>8050000</v>
      </c>
      <c r="K120" s="336"/>
      <c r="L120" s="336"/>
      <c r="M120" s="336"/>
    </row>
    <row r="121" spans="1:13" ht="12.75" customHeight="1">
      <c r="A121" s="380" t="s">
        <v>221</v>
      </c>
      <c r="C121" s="342"/>
      <c r="D121" s="342"/>
      <c r="E121" s="342"/>
      <c r="F121" s="342"/>
      <c r="G121" s="342"/>
      <c r="H121" s="342"/>
      <c r="I121" s="336"/>
      <c r="J121" s="379">
        <v>4800000</v>
      </c>
      <c r="K121" s="336"/>
      <c r="L121" s="336"/>
      <c r="M121" s="336"/>
    </row>
    <row r="122" spans="3:13" ht="12.75" customHeight="1">
      <c r="C122" s="342"/>
      <c r="D122" s="342"/>
      <c r="E122" s="342"/>
      <c r="F122" s="342"/>
      <c r="G122" s="342"/>
      <c r="H122" s="342"/>
      <c r="I122" s="336"/>
      <c r="J122" s="379">
        <f>J120-J121</f>
        <v>3250000</v>
      </c>
      <c r="K122" s="336"/>
      <c r="L122" s="336"/>
      <c r="M122" s="336"/>
    </row>
    <row r="123" spans="3:13" ht="12.75" customHeight="1">
      <c r="C123" s="342"/>
      <c r="D123" s="342"/>
      <c r="E123" s="342"/>
      <c r="F123" s="342"/>
      <c r="G123" s="342"/>
      <c r="H123" s="342"/>
      <c r="I123" s="336"/>
      <c r="J123" s="379"/>
      <c r="K123" s="336"/>
      <c r="L123" s="336"/>
      <c r="M123" s="336"/>
    </row>
    <row r="124" spans="3:13" ht="12.75" customHeight="1">
      <c r="C124" s="342"/>
      <c r="D124" s="342"/>
      <c r="E124" s="342"/>
      <c r="F124" s="342"/>
      <c r="G124" s="342"/>
      <c r="H124" s="342"/>
      <c r="I124" s="336"/>
      <c r="J124" s="336"/>
      <c r="K124" s="336"/>
      <c r="L124" s="336"/>
      <c r="M124" s="336"/>
    </row>
    <row r="125" spans="3:13" ht="12.75" customHeight="1">
      <c r="C125" s="342"/>
      <c r="D125" s="342"/>
      <c r="E125" s="342"/>
      <c r="F125" s="342"/>
      <c r="G125" s="342"/>
      <c r="H125" s="342"/>
      <c r="I125" s="336"/>
      <c r="J125" s="336"/>
      <c r="K125" s="336"/>
      <c r="L125" s="336"/>
      <c r="M125" s="336"/>
    </row>
    <row r="126" spans="3:13" ht="12.75" customHeight="1">
      <c r="C126" s="342"/>
      <c r="D126" s="343"/>
      <c r="E126" s="342"/>
      <c r="F126" s="342"/>
      <c r="G126" s="342"/>
      <c r="H126" s="342"/>
      <c r="I126" s="336"/>
      <c r="J126" s="336"/>
      <c r="K126" s="336"/>
      <c r="L126" s="336"/>
      <c r="M126" s="336"/>
    </row>
    <row r="127" spans="3:13" ht="12.75" customHeight="1">
      <c r="C127" s="342"/>
      <c r="I127" s="336"/>
      <c r="J127" s="336"/>
      <c r="K127" s="336"/>
      <c r="L127" s="336"/>
      <c r="M127" s="336"/>
    </row>
    <row r="128" spans="3:13" ht="12.75" customHeight="1">
      <c r="C128" s="342"/>
      <c r="I128" s="336"/>
      <c r="J128" s="336"/>
      <c r="K128" s="336"/>
      <c r="L128" s="336"/>
      <c r="M128" s="336"/>
    </row>
    <row r="129" spans="3:13" ht="12.75" customHeight="1">
      <c r="C129" s="342"/>
      <c r="I129" s="336"/>
      <c r="J129" s="336"/>
      <c r="K129" s="336"/>
      <c r="L129" s="336"/>
      <c r="M129" s="336"/>
    </row>
    <row r="130" spans="3:13" ht="12.75" customHeight="1">
      <c r="C130" s="342"/>
      <c r="I130" s="336"/>
      <c r="J130" s="336"/>
      <c r="K130" s="336"/>
      <c r="L130" s="336"/>
      <c r="M130" s="336"/>
    </row>
    <row r="131" spans="3:13" ht="12.75" customHeight="1">
      <c r="C131" s="342"/>
      <c r="I131" s="336"/>
      <c r="J131" s="336"/>
      <c r="K131" s="336"/>
      <c r="L131" s="336"/>
      <c r="M131" s="336"/>
    </row>
    <row r="132" spans="3:13" ht="12.75" customHeight="1">
      <c r="C132" s="342"/>
      <c r="I132" s="336"/>
      <c r="J132" s="336"/>
      <c r="K132" s="336"/>
      <c r="L132" s="336"/>
      <c r="M132" s="336"/>
    </row>
    <row r="133" spans="3:13" ht="12.75" customHeight="1">
      <c r="C133" s="342"/>
      <c r="I133" s="336"/>
      <c r="J133" s="336"/>
      <c r="K133" s="336"/>
      <c r="L133" s="336"/>
      <c r="M133" s="336"/>
    </row>
    <row r="134" spans="3:13" ht="12.75" customHeight="1">
      <c r="C134" s="342"/>
      <c r="I134" s="336"/>
      <c r="J134" s="336"/>
      <c r="K134" s="336"/>
      <c r="L134" s="336"/>
      <c r="M134" s="336"/>
    </row>
    <row r="135" spans="3:13" ht="12.75" customHeight="1">
      <c r="C135" s="342"/>
      <c r="I135" s="336"/>
      <c r="J135" s="336"/>
      <c r="K135" s="336"/>
      <c r="L135" s="336"/>
      <c r="M135" s="336"/>
    </row>
    <row r="136" spans="3:13" ht="12.75" customHeight="1">
      <c r="C136" s="342"/>
      <c r="I136" s="336"/>
      <c r="J136" s="336"/>
      <c r="K136" s="336"/>
      <c r="L136" s="336"/>
      <c r="M136" s="336"/>
    </row>
    <row r="137" spans="9:13" ht="12.75" customHeight="1">
      <c r="I137" s="336"/>
      <c r="J137" s="336"/>
      <c r="K137" s="336"/>
      <c r="L137" s="336"/>
      <c r="M137" s="336"/>
    </row>
    <row r="138" spans="9:13" ht="12.75" customHeight="1">
      <c r="I138" s="336"/>
      <c r="J138" s="336"/>
      <c r="K138" s="336"/>
      <c r="L138" s="336"/>
      <c r="M138" s="336"/>
    </row>
    <row r="139" spans="9:13" ht="12.75" customHeight="1">
      <c r="I139" s="336"/>
      <c r="J139" s="336"/>
      <c r="K139" s="336"/>
      <c r="L139" s="336"/>
      <c r="M139" s="336"/>
    </row>
    <row r="140" spans="9:13" ht="12.75" customHeight="1">
      <c r="I140" s="336"/>
      <c r="J140" s="336"/>
      <c r="K140" s="336"/>
      <c r="L140" s="336"/>
      <c r="M140" s="336"/>
    </row>
    <row r="141" spans="9:13" ht="12.75" customHeight="1">
      <c r="I141" s="336"/>
      <c r="J141" s="336"/>
      <c r="K141" s="336"/>
      <c r="L141" s="336"/>
      <c r="M141" s="336"/>
    </row>
    <row r="142" spans="9:13" ht="12.75" customHeight="1">
      <c r="I142" s="336"/>
      <c r="J142" s="336"/>
      <c r="K142" s="336"/>
      <c r="L142" s="336"/>
      <c r="M142" s="336"/>
    </row>
    <row r="143" spans="9:13" ht="12.75" customHeight="1">
      <c r="I143" s="336"/>
      <c r="J143" s="336"/>
      <c r="K143" s="336"/>
      <c r="L143" s="336"/>
      <c r="M143" s="336"/>
    </row>
    <row r="144" spans="9:13" ht="12.75" customHeight="1">
      <c r="I144" s="336"/>
      <c r="J144" s="336"/>
      <c r="K144" s="336"/>
      <c r="L144" s="336"/>
      <c r="M144" s="336"/>
    </row>
    <row r="145" spans="9:13" ht="12.75" customHeight="1">
      <c r="I145" s="336"/>
      <c r="J145" s="336"/>
      <c r="K145" s="336"/>
      <c r="L145" s="336"/>
      <c r="M145" s="336"/>
    </row>
    <row r="146" spans="9:13" ht="12.75" customHeight="1">
      <c r="I146" s="336"/>
      <c r="J146" s="336"/>
      <c r="K146" s="336"/>
      <c r="L146" s="336"/>
      <c r="M146" s="336"/>
    </row>
    <row r="147" spans="9:13" ht="12.75" customHeight="1">
      <c r="I147" s="336"/>
      <c r="J147" s="336"/>
      <c r="K147" s="336"/>
      <c r="L147" s="336"/>
      <c r="M147" s="336"/>
    </row>
    <row r="148" spans="9:13" ht="12.75" customHeight="1">
      <c r="I148" s="336"/>
      <c r="J148" s="336"/>
      <c r="K148" s="336"/>
      <c r="L148" s="336"/>
      <c r="M148" s="336"/>
    </row>
    <row r="149" spans="9:13" ht="12.75" customHeight="1">
      <c r="I149" s="336"/>
      <c r="J149" s="336"/>
      <c r="K149" s="336"/>
      <c r="L149" s="336"/>
      <c r="M149" s="336"/>
    </row>
    <row r="150" spans="9:13" ht="12.75" customHeight="1">
      <c r="I150" s="336"/>
      <c r="J150" s="336"/>
      <c r="K150" s="336"/>
      <c r="L150" s="336"/>
      <c r="M150" s="336"/>
    </row>
    <row r="151" spans="9:13" ht="12.75" customHeight="1">
      <c r="I151" s="336"/>
      <c r="J151" s="336"/>
      <c r="K151" s="336"/>
      <c r="L151" s="336"/>
      <c r="M151" s="336"/>
    </row>
    <row r="152" spans="9:13" ht="12.75" customHeight="1">
      <c r="I152" s="336"/>
      <c r="J152" s="336"/>
      <c r="K152" s="336"/>
      <c r="L152" s="336"/>
      <c r="M152" s="336"/>
    </row>
    <row r="153" spans="9:13" ht="12.75" customHeight="1">
      <c r="I153" s="336"/>
      <c r="J153" s="336"/>
      <c r="K153" s="336"/>
      <c r="L153" s="336"/>
      <c r="M153" s="336"/>
    </row>
    <row r="154" spans="9:13" ht="12.75" customHeight="1">
      <c r="I154" s="336"/>
      <c r="J154" s="336"/>
      <c r="K154" s="336"/>
      <c r="L154" s="336"/>
      <c r="M154" s="336"/>
    </row>
    <row r="155" spans="9:13" ht="12.75" customHeight="1">
      <c r="I155" s="336"/>
      <c r="J155" s="336"/>
      <c r="K155" s="336"/>
      <c r="L155" s="336"/>
      <c r="M155" s="336"/>
    </row>
    <row r="156" spans="9:13" ht="12.75" customHeight="1">
      <c r="I156" s="336"/>
      <c r="J156" s="336"/>
      <c r="K156" s="336"/>
      <c r="L156" s="336"/>
      <c r="M156" s="336"/>
    </row>
    <row r="157" spans="9:13" ht="12.75" customHeight="1">
      <c r="I157" s="336"/>
      <c r="J157" s="336"/>
      <c r="K157" s="336"/>
      <c r="L157" s="336"/>
      <c r="M157" s="336"/>
    </row>
    <row r="158" spans="9:13" ht="12.75" customHeight="1">
      <c r="I158" s="336"/>
      <c r="J158" s="336"/>
      <c r="K158" s="336"/>
      <c r="L158" s="336"/>
      <c r="M158" s="336"/>
    </row>
    <row r="159" spans="9:13" ht="12.75" customHeight="1">
      <c r="I159" s="336"/>
      <c r="J159" s="336"/>
      <c r="K159" s="336"/>
      <c r="L159" s="336"/>
      <c r="M159" s="336"/>
    </row>
    <row r="160" spans="9:13" ht="12.75" customHeight="1">
      <c r="I160" s="336"/>
      <c r="J160" s="336"/>
      <c r="K160" s="336"/>
      <c r="L160" s="336"/>
      <c r="M160" s="336"/>
    </row>
    <row r="161" spans="9:13" ht="12.75" customHeight="1">
      <c r="I161" s="336"/>
      <c r="J161" s="336"/>
      <c r="K161" s="336"/>
      <c r="L161" s="336"/>
      <c r="M161" s="336"/>
    </row>
    <row r="162" spans="9:13" ht="12.75" customHeight="1">
      <c r="I162" s="336"/>
      <c r="J162" s="336"/>
      <c r="K162" s="336"/>
      <c r="L162" s="336"/>
      <c r="M162" s="336"/>
    </row>
    <row r="163" spans="9:13" ht="12.75" customHeight="1">
      <c r="I163" s="336"/>
      <c r="J163" s="336"/>
      <c r="K163" s="336"/>
      <c r="L163" s="336"/>
      <c r="M163" s="336"/>
    </row>
    <row r="164" spans="9:13" ht="12.75" customHeight="1">
      <c r="I164" s="336"/>
      <c r="J164" s="336"/>
      <c r="K164" s="336"/>
      <c r="L164" s="336"/>
      <c r="M164" s="336"/>
    </row>
    <row r="165" spans="9:13" ht="12.75" customHeight="1">
      <c r="I165" s="336"/>
      <c r="J165" s="336"/>
      <c r="K165" s="336"/>
      <c r="L165" s="336"/>
      <c r="M165" s="336"/>
    </row>
    <row r="166" spans="9:13" ht="12.75" customHeight="1">
      <c r="I166" s="336"/>
      <c r="J166" s="336"/>
      <c r="K166" s="336"/>
      <c r="L166" s="336"/>
      <c r="M166" s="336"/>
    </row>
    <row r="167" spans="9:13" ht="12.75" customHeight="1">
      <c r="I167" s="336"/>
      <c r="J167" s="336"/>
      <c r="K167" s="336"/>
      <c r="L167" s="336"/>
      <c r="M167" s="336"/>
    </row>
    <row r="168" spans="9:13" ht="12.75" customHeight="1">
      <c r="I168" s="336"/>
      <c r="J168" s="336"/>
      <c r="K168" s="336"/>
      <c r="L168" s="336"/>
      <c r="M168" s="336"/>
    </row>
    <row r="169" spans="9:13" ht="12.75" customHeight="1">
      <c r="I169" s="336"/>
      <c r="J169" s="336"/>
      <c r="K169" s="336"/>
      <c r="L169" s="336"/>
      <c r="M169" s="336"/>
    </row>
    <row r="170" spans="9:13" ht="12.75" customHeight="1">
      <c r="I170" s="336"/>
      <c r="J170" s="336"/>
      <c r="K170" s="336"/>
      <c r="L170" s="336"/>
      <c r="M170" s="336"/>
    </row>
    <row r="171" spans="9:13" ht="12.75" customHeight="1">
      <c r="I171" s="336"/>
      <c r="J171" s="336"/>
      <c r="K171" s="336"/>
      <c r="L171" s="336"/>
      <c r="M171" s="336"/>
    </row>
    <row r="172" spans="9:13" ht="12.75" customHeight="1">
      <c r="I172" s="336"/>
      <c r="J172" s="336"/>
      <c r="K172" s="336"/>
      <c r="L172" s="336"/>
      <c r="M172" s="336"/>
    </row>
    <row r="173" spans="9:13" ht="12.75" customHeight="1">
      <c r="I173" s="336"/>
      <c r="J173" s="336"/>
      <c r="K173" s="336"/>
      <c r="L173" s="336"/>
      <c r="M173" s="336"/>
    </row>
    <row r="174" spans="9:13" ht="12.75" customHeight="1">
      <c r="I174" s="336"/>
      <c r="J174" s="336"/>
      <c r="K174" s="336"/>
      <c r="L174" s="336"/>
      <c r="M174" s="336"/>
    </row>
    <row r="175" spans="9:13" ht="12.75" customHeight="1">
      <c r="I175" s="336"/>
      <c r="J175" s="336"/>
      <c r="K175" s="336"/>
      <c r="L175" s="336"/>
      <c r="M175" s="336"/>
    </row>
    <row r="176" spans="9:13" ht="12.75" customHeight="1">
      <c r="I176" s="336"/>
      <c r="J176" s="336"/>
      <c r="K176" s="336"/>
      <c r="L176" s="336"/>
      <c r="M176" s="336"/>
    </row>
    <row r="177" spans="9:13" ht="12.75" customHeight="1">
      <c r="I177" s="336"/>
      <c r="J177" s="336"/>
      <c r="K177" s="336"/>
      <c r="L177" s="336"/>
      <c r="M177" s="336"/>
    </row>
    <row r="178" spans="9:13" ht="12.75" customHeight="1">
      <c r="I178" s="336"/>
      <c r="J178" s="336"/>
      <c r="K178" s="336"/>
      <c r="L178" s="336"/>
      <c r="M178" s="336"/>
    </row>
    <row r="179" spans="9:13" ht="12.75" customHeight="1">
      <c r="I179" s="336"/>
      <c r="J179" s="336"/>
      <c r="K179" s="336"/>
      <c r="L179" s="336"/>
      <c r="M179" s="336"/>
    </row>
    <row r="180" spans="9:13" ht="12.75" customHeight="1">
      <c r="I180" s="336"/>
      <c r="J180" s="336"/>
      <c r="K180" s="336"/>
      <c r="L180" s="336"/>
      <c r="M180" s="336"/>
    </row>
    <row r="181" spans="9:13" ht="12.75" customHeight="1">
      <c r="I181" s="336"/>
      <c r="J181" s="336"/>
      <c r="K181" s="336"/>
      <c r="L181" s="336"/>
      <c r="M181" s="336"/>
    </row>
    <row r="182" spans="9:13" ht="12.75" customHeight="1">
      <c r="I182" s="336"/>
      <c r="J182" s="336"/>
      <c r="K182" s="336"/>
      <c r="L182" s="336"/>
      <c r="M182" s="336"/>
    </row>
    <row r="183" spans="9:13" ht="12.75" customHeight="1">
      <c r="I183" s="336"/>
      <c r="J183" s="336"/>
      <c r="K183" s="336"/>
      <c r="L183" s="336"/>
      <c r="M183" s="336"/>
    </row>
    <row r="184" spans="9:13" ht="12.75" customHeight="1">
      <c r="I184" s="336"/>
      <c r="J184" s="336"/>
      <c r="K184" s="336"/>
      <c r="L184" s="336"/>
      <c r="M184" s="336"/>
    </row>
    <row r="185" spans="9:13" ht="12.75" customHeight="1">
      <c r="I185" s="336"/>
      <c r="J185" s="336"/>
      <c r="K185" s="336"/>
      <c r="L185" s="336"/>
      <c r="M185" s="336"/>
    </row>
    <row r="186" spans="9:13" ht="12.75" customHeight="1">
      <c r="I186" s="336"/>
      <c r="J186" s="336"/>
      <c r="K186" s="336"/>
      <c r="L186" s="336"/>
      <c r="M186" s="336"/>
    </row>
    <row r="187" spans="9:13" ht="12.75" customHeight="1">
      <c r="I187" s="336"/>
      <c r="J187" s="336"/>
      <c r="K187" s="336"/>
      <c r="L187" s="336"/>
      <c r="M187" s="336"/>
    </row>
    <row r="188" spans="9:13" ht="12.75" customHeight="1">
      <c r="I188" s="336"/>
      <c r="J188" s="336"/>
      <c r="K188" s="336"/>
      <c r="L188" s="336"/>
      <c r="M188" s="336"/>
    </row>
    <row r="189" spans="9:13" ht="12.75" customHeight="1">
      <c r="I189" s="336"/>
      <c r="J189" s="336"/>
      <c r="K189" s="336"/>
      <c r="L189" s="336"/>
      <c r="M189" s="336"/>
    </row>
    <row r="190" spans="9:13" ht="12.75" customHeight="1">
      <c r="I190" s="336"/>
      <c r="J190" s="336"/>
      <c r="K190" s="336"/>
      <c r="L190" s="336"/>
      <c r="M190" s="336"/>
    </row>
    <row r="191" spans="9:13" ht="12.75" customHeight="1">
      <c r="I191" s="336"/>
      <c r="J191" s="336"/>
      <c r="K191" s="336"/>
      <c r="L191" s="336"/>
      <c r="M191" s="336"/>
    </row>
    <row r="192" spans="9:13" ht="12.75" customHeight="1">
      <c r="I192" s="336"/>
      <c r="J192" s="336"/>
      <c r="K192" s="336"/>
      <c r="L192" s="336"/>
      <c r="M192" s="336"/>
    </row>
    <row r="193" spans="9:13" ht="12.75" customHeight="1">
      <c r="I193" s="336"/>
      <c r="J193" s="336"/>
      <c r="K193" s="336"/>
      <c r="L193" s="336"/>
      <c r="M193" s="336"/>
    </row>
    <row r="194" spans="9:13" ht="12.75" customHeight="1">
      <c r="I194" s="336"/>
      <c r="J194" s="336"/>
      <c r="K194" s="336"/>
      <c r="L194" s="336"/>
      <c r="M194" s="336"/>
    </row>
    <row r="195" spans="9:13" ht="12.75" customHeight="1">
      <c r="I195" s="336"/>
      <c r="J195" s="336"/>
      <c r="K195" s="336"/>
      <c r="L195" s="336"/>
      <c r="M195" s="336"/>
    </row>
    <row r="196" spans="9:13" ht="12.75" customHeight="1">
      <c r="I196" s="336"/>
      <c r="J196" s="336"/>
      <c r="K196" s="336"/>
      <c r="L196" s="336"/>
      <c r="M196" s="336"/>
    </row>
    <row r="197" spans="9:13" ht="12.75" customHeight="1">
      <c r="I197" s="336"/>
      <c r="J197" s="336"/>
      <c r="K197" s="336"/>
      <c r="L197" s="336"/>
      <c r="M197" s="336"/>
    </row>
    <row r="198" spans="9:13" ht="12.75" customHeight="1">
      <c r="I198" s="336"/>
      <c r="J198" s="336"/>
      <c r="K198" s="336"/>
      <c r="L198" s="336"/>
      <c r="M198" s="336"/>
    </row>
    <row r="199" spans="9:13" ht="12.75" customHeight="1">
      <c r="I199" s="336"/>
      <c r="J199" s="336"/>
      <c r="K199" s="336"/>
      <c r="L199" s="336"/>
      <c r="M199" s="336"/>
    </row>
    <row r="200" spans="9:13" ht="12.75" customHeight="1">
      <c r="I200" s="336"/>
      <c r="J200" s="336"/>
      <c r="K200" s="336"/>
      <c r="L200" s="336"/>
      <c r="M200" s="336"/>
    </row>
    <row r="201" spans="9:13" ht="12.75" customHeight="1">
      <c r="I201" s="336"/>
      <c r="J201" s="336"/>
      <c r="K201" s="336"/>
      <c r="L201" s="336"/>
      <c r="M201" s="336"/>
    </row>
    <row r="202" spans="9:13" ht="12.75" customHeight="1">
      <c r="I202" s="336"/>
      <c r="J202" s="336"/>
      <c r="K202" s="336"/>
      <c r="L202" s="336"/>
      <c r="M202" s="336"/>
    </row>
    <row r="203" spans="9:13" ht="12.75" customHeight="1">
      <c r="I203" s="336"/>
      <c r="J203" s="336"/>
      <c r="K203" s="336"/>
      <c r="L203" s="336"/>
      <c r="M203" s="336"/>
    </row>
    <row r="204" spans="9:13" ht="12.75" customHeight="1">
      <c r="I204" s="336"/>
      <c r="J204" s="336"/>
      <c r="K204" s="336"/>
      <c r="L204" s="336"/>
      <c r="M204" s="336"/>
    </row>
    <row r="205" spans="9:13" ht="12.75" customHeight="1">
      <c r="I205" s="336"/>
      <c r="J205" s="336"/>
      <c r="K205" s="336"/>
      <c r="L205" s="336"/>
      <c r="M205" s="336"/>
    </row>
    <row r="206" spans="9:13" ht="12.75" customHeight="1">
      <c r="I206" s="336"/>
      <c r="J206" s="336"/>
      <c r="K206" s="336"/>
      <c r="L206" s="336"/>
      <c r="M206" s="336"/>
    </row>
    <row r="207" spans="9:13" ht="12.75" customHeight="1">
      <c r="I207" s="336"/>
      <c r="J207" s="336"/>
      <c r="K207" s="336"/>
      <c r="L207" s="336"/>
      <c r="M207" s="336"/>
    </row>
    <row r="208" spans="9:13" ht="12.75" customHeight="1">
      <c r="I208" s="336"/>
      <c r="J208" s="336"/>
      <c r="K208" s="336"/>
      <c r="L208" s="336"/>
      <c r="M208" s="336"/>
    </row>
    <row r="209" spans="9:13" ht="12.75" customHeight="1">
      <c r="I209" s="336"/>
      <c r="J209" s="336"/>
      <c r="K209" s="336"/>
      <c r="L209" s="336"/>
      <c r="M209" s="336"/>
    </row>
    <row r="210" spans="9:13" ht="12.75" customHeight="1">
      <c r="I210" s="336"/>
      <c r="J210" s="336"/>
      <c r="K210" s="336"/>
      <c r="L210" s="336"/>
      <c r="M210" s="336"/>
    </row>
    <row r="211" spans="9:13" ht="12.75" customHeight="1">
      <c r="I211" s="336"/>
      <c r="J211" s="336"/>
      <c r="K211" s="336"/>
      <c r="L211" s="336"/>
      <c r="M211" s="336"/>
    </row>
    <row r="212" spans="9:13" ht="12.75" customHeight="1">
      <c r="I212" s="336"/>
      <c r="J212" s="336"/>
      <c r="K212" s="336"/>
      <c r="L212" s="336"/>
      <c r="M212" s="336"/>
    </row>
    <row r="213" spans="9:13" ht="12.75" customHeight="1">
      <c r="I213" s="336"/>
      <c r="J213" s="336"/>
      <c r="K213" s="336"/>
      <c r="L213" s="336"/>
      <c r="M213" s="336"/>
    </row>
    <row r="214" spans="9:13" ht="12.75" customHeight="1">
      <c r="I214" s="336"/>
      <c r="J214" s="336"/>
      <c r="K214" s="336"/>
      <c r="L214" s="336"/>
      <c r="M214" s="336"/>
    </row>
    <row r="215" spans="9:13" ht="12.75" customHeight="1">
      <c r="I215" s="336"/>
      <c r="J215" s="336"/>
      <c r="K215" s="336"/>
      <c r="L215" s="336"/>
      <c r="M215" s="336"/>
    </row>
    <row r="216" spans="9:13" ht="12.75" customHeight="1">
      <c r="I216" s="336"/>
      <c r="J216" s="336"/>
      <c r="K216" s="336"/>
      <c r="L216" s="336"/>
      <c r="M216" s="336"/>
    </row>
    <row r="217" spans="9:13" ht="12.75" customHeight="1">
      <c r="I217" s="336"/>
      <c r="J217" s="336"/>
      <c r="K217" s="336"/>
      <c r="L217" s="336"/>
      <c r="M217" s="336"/>
    </row>
    <row r="218" spans="9:13" ht="12.75" customHeight="1">
      <c r="I218" s="336"/>
      <c r="J218" s="336"/>
      <c r="K218" s="336"/>
      <c r="L218" s="336"/>
      <c r="M218" s="336"/>
    </row>
    <row r="219" spans="9:13" ht="12.75" customHeight="1">
      <c r="I219" s="336"/>
      <c r="J219" s="336"/>
      <c r="K219" s="336"/>
      <c r="L219" s="336"/>
      <c r="M219" s="336"/>
    </row>
    <row r="220" spans="9:13" ht="12.75" customHeight="1">
      <c r="I220" s="336"/>
      <c r="J220" s="336"/>
      <c r="K220" s="336"/>
      <c r="L220" s="336"/>
      <c r="M220" s="336"/>
    </row>
    <row r="221" spans="9:13" ht="12.75" customHeight="1">
      <c r="I221" s="336"/>
      <c r="J221" s="336"/>
      <c r="K221" s="336"/>
      <c r="L221" s="336"/>
      <c r="M221" s="336"/>
    </row>
    <row r="222" spans="9:13" ht="12.75" customHeight="1">
      <c r="I222" s="336"/>
      <c r="J222" s="336"/>
      <c r="K222" s="336"/>
      <c r="L222" s="336"/>
      <c r="M222" s="336"/>
    </row>
    <row r="223" spans="9:13" ht="12.75" customHeight="1">
      <c r="I223" s="336"/>
      <c r="J223" s="336"/>
      <c r="K223" s="336"/>
      <c r="L223" s="336"/>
      <c r="M223" s="336"/>
    </row>
    <row r="224" spans="9:13" ht="12.75" customHeight="1">
      <c r="I224" s="336"/>
      <c r="J224" s="336"/>
      <c r="K224" s="336"/>
      <c r="L224" s="336"/>
      <c r="M224" s="336"/>
    </row>
    <row r="225" spans="9:13" ht="12.75" customHeight="1">
      <c r="I225" s="336"/>
      <c r="J225" s="336"/>
      <c r="K225" s="336"/>
      <c r="L225" s="336"/>
      <c r="M225" s="336"/>
    </row>
    <row r="226" spans="9:13" ht="12.75" customHeight="1">
      <c r="I226" s="336"/>
      <c r="J226" s="336"/>
      <c r="K226" s="336"/>
      <c r="L226" s="336"/>
      <c r="M226" s="336"/>
    </row>
    <row r="227" spans="9:13" ht="12.75" customHeight="1">
      <c r="I227" s="336"/>
      <c r="J227" s="336"/>
      <c r="K227" s="336"/>
      <c r="L227" s="336"/>
      <c r="M227" s="336"/>
    </row>
    <row r="228" spans="9:13" ht="12.75" customHeight="1">
      <c r="I228" s="336"/>
      <c r="J228" s="336"/>
      <c r="K228" s="336"/>
      <c r="L228" s="336"/>
      <c r="M228" s="336"/>
    </row>
    <row r="229" spans="9:13" ht="12.75" customHeight="1">
      <c r="I229" s="336"/>
      <c r="J229" s="336"/>
      <c r="K229" s="336"/>
      <c r="L229" s="336"/>
      <c r="M229" s="336"/>
    </row>
    <row r="230" spans="9:13" ht="12.75" customHeight="1">
      <c r="I230" s="336"/>
      <c r="J230" s="336"/>
      <c r="K230" s="336"/>
      <c r="L230" s="336"/>
      <c r="M230" s="336"/>
    </row>
    <row r="231" spans="9:13" ht="12.75" customHeight="1">
      <c r="I231" s="336"/>
      <c r="J231" s="336"/>
      <c r="K231" s="336"/>
      <c r="L231" s="336"/>
      <c r="M231" s="336"/>
    </row>
    <row r="232" spans="9:13" ht="12.75" customHeight="1">
      <c r="I232" s="336"/>
      <c r="J232" s="336"/>
      <c r="K232" s="336"/>
      <c r="L232" s="336"/>
      <c r="M232" s="336"/>
    </row>
    <row r="233" spans="9:13" ht="12.75" customHeight="1">
      <c r="I233" s="336"/>
      <c r="J233" s="336"/>
      <c r="K233" s="336"/>
      <c r="L233" s="336"/>
      <c r="M233" s="336"/>
    </row>
    <row r="234" spans="9:13" ht="12.75" customHeight="1">
      <c r="I234" s="336"/>
      <c r="J234" s="336"/>
      <c r="K234" s="336"/>
      <c r="L234" s="336"/>
      <c r="M234" s="336"/>
    </row>
    <row r="235" spans="9:13" ht="12.75" customHeight="1">
      <c r="I235" s="336"/>
      <c r="J235" s="336"/>
      <c r="K235" s="336"/>
      <c r="L235" s="336"/>
      <c r="M235" s="336"/>
    </row>
    <row r="236" spans="9:13" ht="12.75" customHeight="1">
      <c r="I236" s="336"/>
      <c r="J236" s="336"/>
      <c r="K236" s="336"/>
      <c r="L236" s="336"/>
      <c r="M236" s="336"/>
    </row>
    <row r="237" spans="9:13" ht="12.75" customHeight="1">
      <c r="I237" s="336"/>
      <c r="J237" s="336"/>
      <c r="K237" s="336"/>
      <c r="L237" s="336"/>
      <c r="M237" s="336"/>
    </row>
    <row r="238" spans="9:13" ht="12.75" customHeight="1">
      <c r="I238" s="336"/>
      <c r="J238" s="336"/>
      <c r="K238" s="336"/>
      <c r="L238" s="336"/>
      <c r="M238" s="336"/>
    </row>
    <row r="239" spans="9:13" ht="12.75" customHeight="1">
      <c r="I239" s="336"/>
      <c r="J239" s="336"/>
      <c r="K239" s="336"/>
      <c r="L239" s="336"/>
      <c r="M239" s="336"/>
    </row>
    <row r="240" spans="9:13" ht="12.75" customHeight="1">
      <c r="I240" s="336"/>
      <c r="J240" s="336"/>
      <c r="K240" s="336"/>
      <c r="L240" s="336"/>
      <c r="M240" s="336"/>
    </row>
    <row r="241" spans="9:13" ht="12.75" customHeight="1">
      <c r="I241" s="336"/>
      <c r="J241" s="336"/>
      <c r="K241" s="336"/>
      <c r="L241" s="336"/>
      <c r="M241" s="336"/>
    </row>
    <row r="242" spans="9:13" ht="12.75" customHeight="1">
      <c r="I242" s="336"/>
      <c r="J242" s="336"/>
      <c r="K242" s="336"/>
      <c r="L242" s="336"/>
      <c r="M242" s="336"/>
    </row>
    <row r="243" spans="9:13" ht="12.75" customHeight="1">
      <c r="I243" s="336"/>
      <c r="J243" s="336"/>
      <c r="K243" s="336"/>
      <c r="L243" s="336"/>
      <c r="M243" s="336"/>
    </row>
    <row r="244" spans="9:13" ht="12.75" customHeight="1">
      <c r="I244" s="336"/>
      <c r="J244" s="336"/>
      <c r="K244" s="336"/>
      <c r="L244" s="336"/>
      <c r="M244" s="336"/>
    </row>
    <row r="245" spans="9:13" ht="12.75" customHeight="1">
      <c r="I245" s="336"/>
      <c r="J245" s="336"/>
      <c r="K245" s="336"/>
      <c r="L245" s="336"/>
      <c r="M245" s="336"/>
    </row>
    <row r="246" spans="9:13" ht="12.75" customHeight="1">
      <c r="I246" s="336"/>
      <c r="J246" s="336"/>
      <c r="K246" s="336"/>
      <c r="L246" s="336"/>
      <c r="M246" s="336"/>
    </row>
    <row r="247" spans="9:13" ht="12.75" customHeight="1">
      <c r="I247" s="336"/>
      <c r="J247" s="336"/>
      <c r="K247" s="336"/>
      <c r="L247" s="336"/>
      <c r="M247" s="336"/>
    </row>
    <row r="248" spans="9:13" ht="12.75" customHeight="1">
      <c r="I248" s="336"/>
      <c r="J248" s="336"/>
      <c r="K248" s="336"/>
      <c r="L248" s="336"/>
      <c r="M248" s="336"/>
    </row>
    <row r="249" spans="9:13" ht="12.75" customHeight="1">
      <c r="I249" s="336"/>
      <c r="J249" s="336"/>
      <c r="K249" s="336"/>
      <c r="L249" s="336"/>
      <c r="M249" s="336"/>
    </row>
    <row r="250" spans="9:13" ht="12.75" customHeight="1">
      <c r="I250" s="336"/>
      <c r="J250" s="336"/>
      <c r="K250" s="336"/>
      <c r="L250" s="336"/>
      <c r="M250" s="336"/>
    </row>
    <row r="251" spans="9:13" ht="12.75" customHeight="1">
      <c r="I251" s="336"/>
      <c r="J251" s="336"/>
      <c r="K251" s="336"/>
      <c r="L251" s="336"/>
      <c r="M251" s="336"/>
    </row>
    <row r="252" spans="9:13" ht="12.75" customHeight="1">
      <c r="I252" s="336"/>
      <c r="J252" s="336"/>
      <c r="K252" s="336"/>
      <c r="L252" s="336"/>
      <c r="M252" s="336"/>
    </row>
    <row r="253" spans="9:13" ht="12.75" customHeight="1">
      <c r="I253" s="336"/>
      <c r="J253" s="336"/>
      <c r="K253" s="336"/>
      <c r="L253" s="336"/>
      <c r="M253" s="336"/>
    </row>
    <row r="254" spans="9:13" ht="12.75" customHeight="1">
      <c r="I254" s="336"/>
      <c r="J254" s="336"/>
      <c r="K254" s="336"/>
      <c r="L254" s="336"/>
      <c r="M254" s="336"/>
    </row>
    <row r="255" spans="9:13" ht="12.75" customHeight="1">
      <c r="I255" s="336"/>
      <c r="J255" s="336"/>
      <c r="K255" s="336"/>
      <c r="L255" s="336"/>
      <c r="M255" s="336"/>
    </row>
    <row r="256" spans="9:13" ht="12.75" customHeight="1">
      <c r="I256" s="336"/>
      <c r="J256" s="336"/>
      <c r="K256" s="336"/>
      <c r="L256" s="336"/>
      <c r="M256" s="336"/>
    </row>
    <row r="257" spans="9:13" ht="12.75" customHeight="1">
      <c r="I257" s="336"/>
      <c r="J257" s="336"/>
      <c r="K257" s="336"/>
      <c r="L257" s="336"/>
      <c r="M257" s="336"/>
    </row>
    <row r="258" spans="9:13" ht="12.75" customHeight="1">
      <c r="I258" s="336"/>
      <c r="J258" s="336"/>
      <c r="K258" s="336"/>
      <c r="L258" s="336"/>
      <c r="M258" s="336"/>
    </row>
    <row r="259" spans="9:13" ht="12.75" customHeight="1">
      <c r="I259" s="336"/>
      <c r="J259" s="336"/>
      <c r="K259" s="336"/>
      <c r="L259" s="336"/>
      <c r="M259" s="336"/>
    </row>
    <row r="260" spans="9:13" ht="12.75" customHeight="1">
      <c r="I260" s="336"/>
      <c r="J260" s="336"/>
      <c r="K260" s="336"/>
      <c r="L260" s="336"/>
      <c r="M260" s="336"/>
    </row>
    <row r="261" spans="9:13" ht="12.75" customHeight="1">
      <c r="I261" s="336"/>
      <c r="J261" s="336"/>
      <c r="K261" s="336"/>
      <c r="L261" s="336"/>
      <c r="M261" s="336"/>
    </row>
    <row r="262" spans="9:13" ht="12.75" customHeight="1">
      <c r="I262" s="336"/>
      <c r="J262" s="336"/>
      <c r="K262" s="336"/>
      <c r="L262" s="336"/>
      <c r="M262" s="336"/>
    </row>
    <row r="263" spans="9:13" ht="12.75" customHeight="1">
      <c r="I263" s="336"/>
      <c r="J263" s="336"/>
      <c r="K263" s="336"/>
      <c r="L263" s="336"/>
      <c r="M263" s="336"/>
    </row>
    <row r="264" spans="9:13" ht="12.75" customHeight="1">
      <c r="I264" s="336"/>
      <c r="J264" s="336"/>
      <c r="K264" s="336"/>
      <c r="L264" s="336"/>
      <c r="M264" s="336"/>
    </row>
    <row r="265" spans="9:13" ht="12.75" customHeight="1">
      <c r="I265" s="336"/>
      <c r="J265" s="336"/>
      <c r="K265" s="336"/>
      <c r="L265" s="336"/>
      <c r="M265" s="336"/>
    </row>
    <row r="266" spans="9:13" ht="12.75" customHeight="1">
      <c r="I266" s="336"/>
      <c r="J266" s="336"/>
      <c r="K266" s="336"/>
      <c r="L266" s="336"/>
      <c r="M266" s="336"/>
    </row>
    <row r="267" spans="9:13" ht="12.75" customHeight="1">
      <c r="I267" s="336"/>
      <c r="J267" s="336"/>
      <c r="K267" s="336"/>
      <c r="L267" s="336"/>
      <c r="M267" s="336"/>
    </row>
    <row r="268" spans="9:13" ht="12.75" customHeight="1">
      <c r="I268" s="336"/>
      <c r="J268" s="336"/>
      <c r="K268" s="336"/>
      <c r="L268" s="336"/>
      <c r="M268" s="336"/>
    </row>
    <row r="269" spans="9:13" ht="12.75" customHeight="1">
      <c r="I269" s="336"/>
      <c r="J269" s="336"/>
      <c r="K269" s="336"/>
      <c r="L269" s="336"/>
      <c r="M269" s="336"/>
    </row>
    <row r="270" spans="9:13" ht="12.75" customHeight="1">
      <c r="I270" s="336"/>
      <c r="J270" s="336"/>
      <c r="K270" s="336"/>
      <c r="L270" s="336"/>
      <c r="M270" s="336"/>
    </row>
    <row r="271" spans="9:13" ht="12.75" customHeight="1">
      <c r="I271" s="336"/>
      <c r="J271" s="336"/>
      <c r="K271" s="336"/>
      <c r="L271" s="336"/>
      <c r="M271" s="336"/>
    </row>
    <row r="272" spans="9:13" ht="12.75" customHeight="1">
      <c r="I272" s="336"/>
      <c r="J272" s="336"/>
      <c r="K272" s="336"/>
      <c r="L272" s="336"/>
      <c r="M272" s="336"/>
    </row>
    <row r="273" spans="9:13" ht="12.75" customHeight="1">
      <c r="I273" s="336"/>
      <c r="J273" s="336"/>
      <c r="K273" s="336"/>
      <c r="L273" s="336"/>
      <c r="M273" s="336"/>
    </row>
    <row r="274" spans="9:13" ht="12.75" customHeight="1">
      <c r="I274" s="336"/>
      <c r="J274" s="336"/>
      <c r="K274" s="336"/>
      <c r="L274" s="336"/>
      <c r="M274" s="336"/>
    </row>
    <row r="275" spans="9:13" ht="12.75" customHeight="1">
      <c r="I275" s="336"/>
      <c r="J275" s="336"/>
      <c r="K275" s="336"/>
      <c r="L275" s="336"/>
      <c r="M275" s="336"/>
    </row>
    <row r="276" spans="9:13" ht="12.75" customHeight="1">
      <c r="I276" s="336"/>
      <c r="J276" s="336"/>
      <c r="K276" s="336"/>
      <c r="L276" s="336"/>
      <c r="M276" s="336"/>
    </row>
    <row r="277" spans="9:13" ht="12.75" customHeight="1">
      <c r="I277" s="336"/>
      <c r="J277" s="336"/>
      <c r="K277" s="336"/>
      <c r="L277" s="336"/>
      <c r="M277" s="336"/>
    </row>
    <row r="278" spans="9:13" ht="12.75" customHeight="1">
      <c r="I278" s="336"/>
      <c r="J278" s="336"/>
      <c r="K278" s="336"/>
      <c r="L278" s="336"/>
      <c r="M278" s="336"/>
    </row>
    <row r="279" spans="9:13" ht="12.75" customHeight="1">
      <c r="I279" s="336"/>
      <c r="J279" s="336"/>
      <c r="K279" s="336"/>
      <c r="L279" s="336"/>
      <c r="M279" s="336"/>
    </row>
    <row r="280" spans="9:13" ht="12.75" customHeight="1">
      <c r="I280" s="336"/>
      <c r="J280" s="336"/>
      <c r="K280" s="336"/>
      <c r="L280" s="336"/>
      <c r="M280" s="336"/>
    </row>
    <row r="281" spans="9:13" ht="12.75" customHeight="1">
      <c r="I281" s="336"/>
      <c r="J281" s="336"/>
      <c r="K281" s="336"/>
      <c r="L281" s="336"/>
      <c r="M281" s="336"/>
    </row>
    <row r="282" spans="9:13" ht="12.75" customHeight="1">
      <c r="I282" s="336"/>
      <c r="J282" s="336"/>
      <c r="K282" s="336"/>
      <c r="L282" s="336"/>
      <c r="M282" s="336"/>
    </row>
    <row r="283" spans="9:13" ht="12.75" customHeight="1">
      <c r="I283" s="336"/>
      <c r="J283" s="336"/>
      <c r="K283" s="336"/>
      <c r="L283" s="336"/>
      <c r="M283" s="336"/>
    </row>
    <row r="284" spans="9:13" ht="12.75" customHeight="1">
      <c r="I284" s="336"/>
      <c r="J284" s="336"/>
      <c r="K284" s="336"/>
      <c r="L284" s="336"/>
      <c r="M284" s="336"/>
    </row>
    <row r="285" spans="9:13" ht="12.75" customHeight="1">
      <c r="I285" s="336"/>
      <c r="J285" s="336"/>
      <c r="K285" s="336"/>
      <c r="L285" s="336"/>
      <c r="M285" s="336"/>
    </row>
    <row r="286" spans="9:13" ht="12.75" customHeight="1">
      <c r="I286" s="336"/>
      <c r="J286" s="336"/>
      <c r="K286" s="336"/>
      <c r="L286" s="336"/>
      <c r="M286" s="336"/>
    </row>
    <row r="287" spans="9:13" ht="12.75" customHeight="1">
      <c r="I287" s="336"/>
      <c r="J287" s="336"/>
      <c r="K287" s="336"/>
      <c r="L287" s="336"/>
      <c r="M287" s="336"/>
    </row>
    <row r="288" spans="9:13" ht="12.75" customHeight="1">
      <c r="I288" s="336"/>
      <c r="J288" s="336"/>
      <c r="K288" s="336"/>
      <c r="L288" s="336"/>
      <c r="M288" s="336"/>
    </row>
    <row r="289" spans="9:13" ht="12.75" customHeight="1">
      <c r="I289" s="336"/>
      <c r="J289" s="336"/>
      <c r="K289" s="336"/>
      <c r="L289" s="336"/>
      <c r="M289" s="336"/>
    </row>
    <row r="290" spans="9:13" ht="12.75" customHeight="1">
      <c r="I290" s="336"/>
      <c r="J290" s="336"/>
      <c r="K290" s="336"/>
      <c r="L290" s="336"/>
      <c r="M290" s="336"/>
    </row>
    <row r="291" spans="9:13" ht="12.75" customHeight="1">
      <c r="I291" s="336"/>
      <c r="J291" s="336"/>
      <c r="K291" s="336"/>
      <c r="L291" s="336"/>
      <c r="M291" s="336"/>
    </row>
    <row r="292" spans="9:13" ht="12.75" customHeight="1">
      <c r="I292" s="336"/>
      <c r="J292" s="336"/>
      <c r="K292" s="336"/>
      <c r="L292" s="336"/>
      <c r="M292" s="336"/>
    </row>
    <row r="293" spans="9:13" ht="12.75" customHeight="1">
      <c r="I293" s="336"/>
      <c r="J293" s="336"/>
      <c r="K293" s="336"/>
      <c r="L293" s="336"/>
      <c r="M293" s="336"/>
    </row>
    <row r="294" spans="9:13" ht="12.75" customHeight="1">
      <c r="I294" s="336"/>
      <c r="J294" s="336"/>
      <c r="K294" s="336"/>
      <c r="L294" s="336"/>
      <c r="M294" s="336"/>
    </row>
    <row r="295" spans="9:13" ht="12.75" customHeight="1">
      <c r="I295" s="336"/>
      <c r="J295" s="336"/>
      <c r="K295" s="336"/>
      <c r="L295" s="336"/>
      <c r="M295" s="336"/>
    </row>
    <row r="296" spans="9:13" ht="12.75" customHeight="1">
      <c r="I296" s="336"/>
      <c r="J296" s="336"/>
      <c r="K296" s="336"/>
      <c r="L296" s="336"/>
      <c r="M296" s="336"/>
    </row>
    <row r="297" spans="9:13" ht="12.75" customHeight="1">
      <c r="I297" s="336"/>
      <c r="J297" s="336"/>
      <c r="K297" s="336"/>
      <c r="L297" s="336"/>
      <c r="M297" s="336"/>
    </row>
    <row r="298" spans="9:13" ht="12.75" customHeight="1">
      <c r="I298" s="336"/>
      <c r="J298" s="336"/>
      <c r="K298" s="336"/>
      <c r="L298" s="336"/>
      <c r="M298" s="336"/>
    </row>
    <row r="299" spans="9:13" ht="12.75" customHeight="1">
      <c r="I299" s="336"/>
      <c r="J299" s="336"/>
      <c r="K299" s="336"/>
      <c r="L299" s="336"/>
      <c r="M299" s="336"/>
    </row>
    <row r="300" spans="9:13" ht="12.75" customHeight="1">
      <c r="I300" s="336"/>
      <c r="J300" s="336"/>
      <c r="K300" s="336"/>
      <c r="L300" s="336"/>
      <c r="M300" s="336"/>
    </row>
    <row r="301" spans="9:13" ht="12.75" customHeight="1">
      <c r="I301" s="336"/>
      <c r="J301" s="336"/>
      <c r="K301" s="336"/>
      <c r="L301" s="336"/>
      <c r="M301" s="336"/>
    </row>
    <row r="302" spans="9:13" ht="12.75" customHeight="1">
      <c r="I302" s="336"/>
      <c r="J302" s="336"/>
      <c r="K302" s="336"/>
      <c r="L302" s="336"/>
      <c r="M302" s="336"/>
    </row>
    <row r="303" spans="9:13" ht="12.75" customHeight="1">
      <c r="I303" s="336"/>
      <c r="J303" s="336"/>
      <c r="K303" s="336"/>
      <c r="L303" s="336"/>
      <c r="M303" s="336"/>
    </row>
    <row r="304" spans="9:13" ht="12.75" customHeight="1">
      <c r="I304" s="336"/>
      <c r="J304" s="336"/>
      <c r="K304" s="336"/>
      <c r="L304" s="336"/>
      <c r="M304" s="336"/>
    </row>
    <row r="305" spans="9:13" ht="12.75" customHeight="1">
      <c r="I305" s="336"/>
      <c r="J305" s="336"/>
      <c r="K305" s="336"/>
      <c r="L305" s="336"/>
      <c r="M305" s="336"/>
    </row>
    <row r="306" spans="9:13" ht="12.75" customHeight="1">
      <c r="I306" s="336"/>
      <c r="J306" s="336"/>
      <c r="K306" s="336"/>
      <c r="L306" s="336"/>
      <c r="M306" s="336"/>
    </row>
    <row r="307" spans="9:13" ht="12.75" customHeight="1">
      <c r="I307" s="336"/>
      <c r="J307" s="336"/>
      <c r="K307" s="336"/>
      <c r="L307" s="336"/>
      <c r="M307" s="336"/>
    </row>
    <row r="308" spans="9:13" ht="12.75" customHeight="1">
      <c r="I308" s="336"/>
      <c r="J308" s="336"/>
      <c r="K308" s="336"/>
      <c r="L308" s="336"/>
      <c r="M308" s="336"/>
    </row>
    <row r="309" spans="9:13" ht="12.75" customHeight="1">
      <c r="I309" s="336"/>
      <c r="J309" s="336"/>
      <c r="K309" s="336"/>
      <c r="L309" s="336"/>
      <c r="M309" s="336"/>
    </row>
    <row r="310" spans="9:13" ht="12.75" customHeight="1">
      <c r="I310" s="336"/>
      <c r="J310" s="336"/>
      <c r="K310" s="336"/>
      <c r="L310" s="336"/>
      <c r="M310" s="336"/>
    </row>
    <row r="311" spans="9:13" ht="12.75" customHeight="1">
      <c r="I311" s="336"/>
      <c r="J311" s="336"/>
      <c r="K311" s="336"/>
      <c r="L311" s="336"/>
      <c r="M311" s="336"/>
    </row>
    <row r="312" spans="9:13" ht="12.75" customHeight="1">
      <c r="I312" s="336"/>
      <c r="J312" s="336"/>
      <c r="K312" s="336"/>
      <c r="L312" s="336"/>
      <c r="M312" s="336"/>
    </row>
    <row r="313" spans="9:13" ht="12.75" customHeight="1">
      <c r="I313" s="336"/>
      <c r="J313" s="336"/>
      <c r="K313" s="336"/>
      <c r="L313" s="336"/>
      <c r="M313" s="336"/>
    </row>
    <row r="314" spans="9:13" ht="12.75" customHeight="1">
      <c r="I314" s="336"/>
      <c r="J314" s="336"/>
      <c r="K314" s="336"/>
      <c r="L314" s="336"/>
      <c r="M314" s="336"/>
    </row>
    <row r="315" spans="9:13" ht="12.75" customHeight="1">
      <c r="I315" s="336"/>
      <c r="J315" s="336"/>
      <c r="K315" s="336"/>
      <c r="L315" s="336"/>
      <c r="M315" s="336"/>
    </row>
    <row r="316" spans="9:13" ht="12.75" customHeight="1">
      <c r="I316" s="336"/>
      <c r="J316" s="336"/>
      <c r="K316" s="336"/>
      <c r="L316" s="336"/>
      <c r="M316" s="336"/>
    </row>
    <row r="317" spans="9:13" ht="12.75" customHeight="1">
      <c r="I317" s="336"/>
      <c r="J317" s="336"/>
      <c r="K317" s="336"/>
      <c r="L317" s="336"/>
      <c r="M317" s="336"/>
    </row>
    <row r="318" spans="9:13" ht="12.75" customHeight="1">
      <c r="I318" s="336"/>
      <c r="J318" s="336"/>
      <c r="K318" s="336"/>
      <c r="L318" s="336"/>
      <c r="M318" s="336"/>
    </row>
    <row r="319" spans="9:13" ht="12.75" customHeight="1">
      <c r="I319" s="336"/>
      <c r="J319" s="336"/>
      <c r="K319" s="336"/>
      <c r="L319" s="336"/>
      <c r="M319" s="336"/>
    </row>
    <row r="320" spans="9:13" ht="12.75" customHeight="1">
      <c r="I320" s="336"/>
      <c r="J320" s="336"/>
      <c r="K320" s="336"/>
      <c r="L320" s="336"/>
      <c r="M320" s="336"/>
    </row>
    <row r="321" spans="9:13" ht="12.75" customHeight="1">
      <c r="I321" s="336"/>
      <c r="J321" s="336"/>
      <c r="K321" s="336"/>
      <c r="L321" s="336"/>
      <c r="M321" s="336"/>
    </row>
    <row r="322" spans="9:13" ht="12.75" customHeight="1">
      <c r="I322" s="336"/>
      <c r="J322" s="336"/>
      <c r="K322" s="336"/>
      <c r="L322" s="336"/>
      <c r="M322" s="336"/>
    </row>
    <row r="323" spans="9:13" ht="12.75" customHeight="1">
      <c r="I323" s="336"/>
      <c r="J323" s="336"/>
      <c r="K323" s="336"/>
      <c r="L323" s="336"/>
      <c r="M323" s="336"/>
    </row>
    <row r="324" spans="9:13" ht="12.75" customHeight="1">
      <c r="I324" s="336"/>
      <c r="J324" s="336"/>
      <c r="K324" s="336"/>
      <c r="L324" s="336"/>
      <c r="M324" s="336"/>
    </row>
    <row r="325" spans="9:13" ht="12.75" customHeight="1">
      <c r="I325" s="336"/>
      <c r="J325" s="336"/>
      <c r="K325" s="336"/>
      <c r="L325" s="336"/>
      <c r="M325" s="336"/>
    </row>
    <row r="326" spans="9:13" ht="12.75" customHeight="1">
      <c r="I326" s="336"/>
      <c r="J326" s="336"/>
      <c r="K326" s="336"/>
      <c r="L326" s="336"/>
      <c r="M326" s="336"/>
    </row>
    <row r="327" spans="9:13" ht="12.75" customHeight="1">
      <c r="I327" s="336"/>
      <c r="J327" s="336"/>
      <c r="K327" s="336"/>
      <c r="L327" s="336"/>
      <c r="M327" s="336"/>
    </row>
    <row r="328" spans="9:13" ht="12.75" customHeight="1">
      <c r="I328" s="336"/>
      <c r="J328" s="336"/>
      <c r="K328" s="336"/>
      <c r="L328" s="336"/>
      <c r="M328" s="336"/>
    </row>
    <row r="329" spans="9:13" ht="12.75" customHeight="1">
      <c r="I329" s="336"/>
      <c r="J329" s="336"/>
      <c r="K329" s="336"/>
      <c r="L329" s="336"/>
      <c r="M329" s="336"/>
    </row>
    <row r="330" spans="9:13" ht="12.75" customHeight="1">
      <c r="I330" s="336"/>
      <c r="J330" s="336"/>
      <c r="K330" s="336"/>
      <c r="L330" s="336"/>
      <c r="M330" s="336"/>
    </row>
    <row r="331" spans="9:13" ht="12.75" customHeight="1">
      <c r="I331" s="336"/>
      <c r="J331" s="336"/>
      <c r="K331" s="336"/>
      <c r="L331" s="336"/>
      <c r="M331" s="336"/>
    </row>
    <row r="332" spans="9:13" ht="12.75" customHeight="1">
      <c r="I332" s="336"/>
      <c r="J332" s="336"/>
      <c r="K332" s="336"/>
      <c r="L332" s="336"/>
      <c r="M332" s="336"/>
    </row>
    <row r="333" spans="9:13" ht="12.75" customHeight="1">
      <c r="I333" s="336"/>
      <c r="J333" s="336"/>
      <c r="K333" s="336"/>
      <c r="L333" s="336"/>
      <c r="M333" s="336"/>
    </row>
    <row r="334" spans="9:13" ht="12.75" customHeight="1">
      <c r="I334" s="336"/>
      <c r="J334" s="336"/>
      <c r="K334" s="336"/>
      <c r="L334" s="336"/>
      <c r="M334" s="336"/>
    </row>
    <row r="335" spans="9:13" ht="12.75" customHeight="1">
      <c r="I335" s="336"/>
      <c r="J335" s="336"/>
      <c r="K335" s="336"/>
      <c r="L335" s="336"/>
      <c r="M335" s="336"/>
    </row>
    <row r="336" spans="9:13" ht="12.75" customHeight="1">
      <c r="I336" s="336"/>
      <c r="J336" s="336"/>
      <c r="K336" s="336"/>
      <c r="L336" s="336"/>
      <c r="M336" s="336"/>
    </row>
    <row r="337" spans="9:13" ht="12.75" customHeight="1">
      <c r="I337" s="336"/>
      <c r="J337" s="336"/>
      <c r="K337" s="336"/>
      <c r="L337" s="336"/>
      <c r="M337" s="336"/>
    </row>
    <row r="338" spans="9:13" ht="12.75" customHeight="1">
      <c r="I338" s="336"/>
      <c r="J338" s="336"/>
      <c r="K338" s="336"/>
      <c r="L338" s="336"/>
      <c r="M338" s="336"/>
    </row>
    <row r="339" spans="9:13" ht="12.75" customHeight="1">
      <c r="I339" s="336"/>
      <c r="J339" s="336"/>
      <c r="K339" s="336"/>
      <c r="L339" s="336"/>
      <c r="M339" s="336"/>
    </row>
    <row r="340" spans="9:13" ht="12.75" customHeight="1">
      <c r="I340" s="336"/>
      <c r="J340" s="336"/>
      <c r="K340" s="336"/>
      <c r="L340" s="336"/>
      <c r="M340" s="336"/>
    </row>
    <row r="341" spans="9:13" ht="12.75" customHeight="1">
      <c r="I341" s="336"/>
      <c r="J341" s="336"/>
      <c r="K341" s="336"/>
      <c r="L341" s="336"/>
      <c r="M341" s="336"/>
    </row>
    <row r="342" spans="9:13" ht="12.75" customHeight="1">
      <c r="I342" s="336"/>
      <c r="J342" s="336"/>
      <c r="K342" s="336"/>
      <c r="L342" s="336"/>
      <c r="M342" s="336"/>
    </row>
    <row r="343" spans="9:13" ht="12.75" customHeight="1">
      <c r="I343" s="336"/>
      <c r="J343" s="336"/>
      <c r="K343" s="336"/>
      <c r="L343" s="336"/>
      <c r="M343" s="336"/>
    </row>
    <row r="344" spans="9:13" ht="12.75" customHeight="1">
      <c r="I344" s="336"/>
      <c r="J344" s="336"/>
      <c r="K344" s="336"/>
      <c r="L344" s="336"/>
      <c r="M344" s="336"/>
    </row>
    <row r="345" spans="9:13" ht="12.75" customHeight="1">
      <c r="I345" s="336"/>
      <c r="J345" s="336"/>
      <c r="K345" s="336"/>
      <c r="L345" s="336"/>
      <c r="M345" s="336"/>
    </row>
    <row r="346" spans="9:13" ht="12.75" customHeight="1">
      <c r="I346" s="336"/>
      <c r="J346" s="336"/>
      <c r="K346" s="336"/>
      <c r="L346" s="336"/>
      <c r="M346" s="336"/>
    </row>
    <row r="347" spans="9:13" ht="12.75" customHeight="1">
      <c r="I347" s="336"/>
      <c r="J347" s="336"/>
      <c r="K347" s="336"/>
      <c r="L347" s="336"/>
      <c r="M347" s="336"/>
    </row>
    <row r="348" spans="9:13" ht="12.75" customHeight="1">
      <c r="I348" s="336"/>
      <c r="J348" s="336"/>
      <c r="K348" s="336"/>
      <c r="L348" s="336"/>
      <c r="M348" s="336"/>
    </row>
    <row r="349" spans="9:13" ht="12.75" customHeight="1">
      <c r="I349" s="336"/>
      <c r="J349" s="336"/>
      <c r="K349" s="336"/>
      <c r="L349" s="336"/>
      <c r="M349" s="336"/>
    </row>
    <row r="350" spans="9:13" ht="12.75" customHeight="1">
      <c r="I350" s="336"/>
      <c r="J350" s="336"/>
      <c r="K350" s="336"/>
      <c r="L350" s="336"/>
      <c r="M350" s="336"/>
    </row>
    <row r="351" spans="9:13" ht="12.75" customHeight="1">
      <c r="I351" s="336"/>
      <c r="J351" s="336"/>
      <c r="K351" s="336"/>
      <c r="L351" s="336"/>
      <c r="M351" s="336"/>
    </row>
    <row r="352" spans="9:13" ht="12.75" customHeight="1">
      <c r="I352" s="336"/>
      <c r="J352" s="336"/>
      <c r="K352" s="336"/>
      <c r="L352" s="336"/>
      <c r="M352" s="336"/>
    </row>
    <row r="353" spans="9:13" ht="12.75" customHeight="1">
      <c r="I353" s="336"/>
      <c r="J353" s="336"/>
      <c r="K353" s="336"/>
      <c r="L353" s="336"/>
      <c r="M353" s="336"/>
    </row>
    <row r="354" spans="9:13" ht="12.75" customHeight="1">
      <c r="I354" s="336"/>
      <c r="J354" s="336"/>
      <c r="K354" s="336"/>
      <c r="L354" s="336"/>
      <c r="M354" s="336"/>
    </row>
    <row r="355" spans="9:13" ht="12.75" customHeight="1">
      <c r="I355" s="336"/>
      <c r="J355" s="336"/>
      <c r="K355" s="336"/>
      <c r="L355" s="336"/>
      <c r="M355" s="336"/>
    </row>
    <row r="356" spans="9:13" ht="12.75" customHeight="1">
      <c r="I356" s="336"/>
      <c r="J356" s="336"/>
      <c r="K356" s="336"/>
      <c r="L356" s="336"/>
      <c r="M356" s="336"/>
    </row>
    <row r="357" spans="9:13" ht="12.75" customHeight="1">
      <c r="I357" s="336"/>
      <c r="J357" s="336"/>
      <c r="K357" s="336"/>
      <c r="L357" s="336"/>
      <c r="M357" s="336"/>
    </row>
    <row r="358" spans="9:13" ht="12.75" customHeight="1">
      <c r="I358" s="336"/>
      <c r="J358" s="336"/>
      <c r="K358" s="336"/>
      <c r="L358" s="336"/>
      <c r="M358" s="336"/>
    </row>
    <row r="359" spans="9:13" ht="12.75" customHeight="1">
      <c r="I359" s="336"/>
      <c r="J359" s="336"/>
      <c r="K359" s="336"/>
      <c r="L359" s="336"/>
      <c r="M359" s="336"/>
    </row>
    <row r="360" spans="9:13" ht="12.75" customHeight="1">
      <c r="I360" s="336"/>
      <c r="J360" s="336"/>
      <c r="K360" s="336"/>
      <c r="L360" s="336"/>
      <c r="M360" s="336"/>
    </row>
    <row r="361" spans="9:13" ht="12.75" customHeight="1">
      <c r="I361" s="336"/>
      <c r="J361" s="336"/>
      <c r="K361" s="336"/>
      <c r="L361" s="336"/>
      <c r="M361" s="336"/>
    </row>
    <row r="362" spans="9:13" ht="12.75" customHeight="1">
      <c r="I362" s="336"/>
      <c r="J362" s="336"/>
      <c r="K362" s="336"/>
      <c r="L362" s="336"/>
      <c r="M362" s="336"/>
    </row>
    <row r="363" spans="9:13" ht="12.75" customHeight="1">
      <c r="I363" s="336"/>
      <c r="J363" s="336"/>
      <c r="K363" s="336"/>
      <c r="L363" s="336"/>
      <c r="M363" s="336"/>
    </row>
    <row r="364" spans="9:13" ht="12.75" customHeight="1">
      <c r="I364" s="336"/>
      <c r="J364" s="336"/>
      <c r="K364" s="336"/>
      <c r="L364" s="336"/>
      <c r="M364" s="336"/>
    </row>
    <row r="365" spans="9:13" ht="12.75" customHeight="1">
      <c r="I365" s="336"/>
      <c r="J365" s="336"/>
      <c r="K365" s="336"/>
      <c r="L365" s="336"/>
      <c r="M365" s="336"/>
    </row>
    <row r="366" spans="9:13" ht="12.75" customHeight="1">
      <c r="I366" s="336"/>
      <c r="J366" s="336"/>
      <c r="K366" s="336"/>
      <c r="L366" s="336"/>
      <c r="M366" s="336"/>
    </row>
    <row r="367" spans="9:13" ht="12.75" customHeight="1">
      <c r="I367" s="336"/>
      <c r="J367" s="336"/>
      <c r="K367" s="336"/>
      <c r="L367" s="336"/>
      <c r="M367" s="336"/>
    </row>
    <row r="368" spans="9:13" ht="12.75" customHeight="1">
      <c r="I368" s="336"/>
      <c r="J368" s="336"/>
      <c r="K368" s="336"/>
      <c r="L368" s="336"/>
      <c r="M368" s="336"/>
    </row>
    <row r="369" spans="9:13" ht="12.75" customHeight="1">
      <c r="I369" s="336"/>
      <c r="J369" s="336"/>
      <c r="K369" s="336"/>
      <c r="L369" s="336"/>
      <c r="M369" s="336"/>
    </row>
    <row r="370" spans="9:13" ht="12.75" customHeight="1">
      <c r="I370" s="336"/>
      <c r="J370" s="336"/>
      <c r="K370" s="336"/>
      <c r="L370" s="336"/>
      <c r="M370" s="336"/>
    </row>
    <row r="371" spans="9:13" ht="12.75" customHeight="1">
      <c r="I371" s="336"/>
      <c r="J371" s="336"/>
      <c r="K371" s="336"/>
      <c r="L371" s="336"/>
      <c r="M371" s="336"/>
    </row>
    <row r="372" spans="9:13" ht="12.75" customHeight="1">
      <c r="I372" s="336"/>
      <c r="J372" s="336"/>
      <c r="K372" s="336"/>
      <c r="L372" s="336"/>
      <c r="M372" s="336"/>
    </row>
    <row r="373" spans="9:13" ht="12.75" customHeight="1">
      <c r="I373" s="336"/>
      <c r="J373" s="336"/>
      <c r="K373" s="336"/>
      <c r="L373" s="336"/>
      <c r="M373" s="336"/>
    </row>
    <row r="374" spans="9:13" ht="12.75" customHeight="1">
      <c r="I374" s="336"/>
      <c r="J374" s="336"/>
      <c r="K374" s="336"/>
      <c r="L374" s="336"/>
      <c r="M374" s="336"/>
    </row>
    <row r="375" spans="9:13" ht="12.75" customHeight="1">
      <c r="I375" s="336"/>
      <c r="J375" s="336"/>
      <c r="K375" s="336"/>
      <c r="L375" s="336"/>
      <c r="M375" s="336"/>
    </row>
    <row r="376" spans="9:13" ht="12.75" customHeight="1">
      <c r="I376" s="336"/>
      <c r="J376" s="336"/>
      <c r="K376" s="336"/>
      <c r="L376" s="336"/>
      <c r="M376" s="336"/>
    </row>
    <row r="377" spans="9:13" ht="12.75" customHeight="1">
      <c r="I377" s="336"/>
      <c r="J377" s="336"/>
      <c r="K377" s="336"/>
      <c r="L377" s="336"/>
      <c r="M377" s="336"/>
    </row>
    <row r="378" spans="9:13" ht="12.75" customHeight="1">
      <c r="I378" s="336"/>
      <c r="J378" s="336"/>
      <c r="K378" s="336"/>
      <c r="L378" s="336"/>
      <c r="M378" s="336"/>
    </row>
    <row r="379" spans="9:13" ht="12.75" customHeight="1">
      <c r="I379" s="336"/>
      <c r="J379" s="336"/>
      <c r="K379" s="336"/>
      <c r="L379" s="336"/>
      <c r="M379" s="336"/>
    </row>
    <row r="380" spans="9:13" ht="12.75" customHeight="1">
      <c r="I380" s="336"/>
      <c r="J380" s="336"/>
      <c r="K380" s="336"/>
      <c r="L380" s="336"/>
      <c r="M380" s="336"/>
    </row>
    <row r="381" spans="9:13" ht="12.75" customHeight="1">
      <c r="I381" s="336"/>
      <c r="J381" s="336"/>
      <c r="K381" s="336"/>
      <c r="L381" s="336"/>
      <c r="M381" s="336"/>
    </row>
    <row r="382" spans="9:13" ht="12.75" customHeight="1">
      <c r="I382" s="336"/>
      <c r="J382" s="336"/>
      <c r="K382" s="336"/>
      <c r="L382" s="336"/>
      <c r="M382" s="336"/>
    </row>
    <row r="383" spans="9:13" ht="12.75" customHeight="1">
      <c r="I383" s="336"/>
      <c r="J383" s="336"/>
      <c r="K383" s="336"/>
      <c r="L383" s="336"/>
      <c r="M383" s="336"/>
    </row>
    <row r="384" spans="9:13" ht="12.75" customHeight="1">
      <c r="I384" s="336"/>
      <c r="J384" s="336"/>
      <c r="K384" s="336"/>
      <c r="L384" s="336"/>
      <c r="M384" s="336"/>
    </row>
    <row r="385" spans="9:13" ht="12.75" customHeight="1">
      <c r="I385" s="336"/>
      <c r="J385" s="336"/>
      <c r="K385" s="336"/>
      <c r="L385" s="336"/>
      <c r="M385" s="336"/>
    </row>
    <row r="386" spans="9:13" ht="12.75" customHeight="1">
      <c r="I386" s="336"/>
      <c r="J386" s="336"/>
      <c r="K386" s="336"/>
      <c r="L386" s="336"/>
      <c r="M386" s="336"/>
    </row>
    <row r="387" spans="9:13" ht="12.75" customHeight="1">
      <c r="I387" s="336"/>
      <c r="J387" s="336"/>
      <c r="K387" s="336"/>
      <c r="L387" s="336"/>
      <c r="M387" s="336"/>
    </row>
    <row r="388" spans="9:13" ht="12.75" customHeight="1">
      <c r="I388" s="336"/>
      <c r="J388" s="336"/>
      <c r="K388" s="336"/>
      <c r="L388" s="336"/>
      <c r="M388" s="336"/>
    </row>
    <row r="389" spans="9:13" ht="12.75" customHeight="1">
      <c r="I389" s="336"/>
      <c r="J389" s="336"/>
      <c r="K389" s="336"/>
      <c r="L389" s="336"/>
      <c r="M389" s="336"/>
    </row>
    <row r="390" spans="9:13" ht="12.75" customHeight="1">
      <c r="I390" s="336"/>
      <c r="J390" s="336"/>
      <c r="K390" s="336"/>
      <c r="L390" s="336"/>
      <c r="M390" s="336"/>
    </row>
    <row r="391" spans="9:13" ht="12.75" customHeight="1">
      <c r="I391" s="336"/>
      <c r="J391" s="336"/>
      <c r="K391" s="336"/>
      <c r="L391" s="336"/>
      <c r="M391" s="336"/>
    </row>
    <row r="392" spans="9:13" ht="12.75" customHeight="1">
      <c r="I392" s="336"/>
      <c r="J392" s="336"/>
      <c r="K392" s="336"/>
      <c r="L392" s="336"/>
      <c r="M392" s="336"/>
    </row>
    <row r="393" spans="9:13" ht="12.75" customHeight="1">
      <c r="I393" s="336"/>
      <c r="J393" s="336"/>
      <c r="K393" s="336"/>
      <c r="L393" s="336"/>
      <c r="M393" s="336"/>
    </row>
    <row r="394" spans="9:13" ht="12.75" customHeight="1">
      <c r="I394" s="336"/>
      <c r="J394" s="336"/>
      <c r="K394" s="336"/>
      <c r="L394" s="336"/>
      <c r="M394" s="336"/>
    </row>
    <row r="395" spans="9:13" ht="12.75" customHeight="1">
      <c r="I395" s="336"/>
      <c r="J395" s="336"/>
      <c r="K395" s="336"/>
      <c r="L395" s="336"/>
      <c r="M395" s="336"/>
    </row>
    <row r="396" spans="9:13" ht="12.75" customHeight="1">
      <c r="I396" s="336"/>
      <c r="J396" s="336"/>
      <c r="K396" s="336"/>
      <c r="L396" s="336"/>
      <c r="M396" s="336"/>
    </row>
    <row r="397" spans="9:13" ht="12.75" customHeight="1">
      <c r="I397" s="336"/>
      <c r="J397" s="336"/>
      <c r="K397" s="336"/>
      <c r="L397" s="336"/>
      <c r="M397" s="336"/>
    </row>
  </sheetData>
  <sheetProtection/>
  <mergeCells count="504">
    <mergeCell ref="A113:H113"/>
    <mergeCell ref="A114:B114"/>
    <mergeCell ref="A115:B115"/>
    <mergeCell ref="A116:B116"/>
    <mergeCell ref="A117:B117"/>
    <mergeCell ref="C110:C111"/>
    <mergeCell ref="D110:D111"/>
    <mergeCell ref="E110:E111"/>
    <mergeCell ref="F110:F111"/>
    <mergeCell ref="G110:G111"/>
    <mergeCell ref="H110:H111"/>
    <mergeCell ref="C108:C109"/>
    <mergeCell ref="D108:D109"/>
    <mergeCell ref="E108:E109"/>
    <mergeCell ref="F108:F109"/>
    <mergeCell ref="G108:G109"/>
    <mergeCell ref="H108:H109"/>
    <mergeCell ref="C106:C107"/>
    <mergeCell ref="D106:D107"/>
    <mergeCell ref="E106:E107"/>
    <mergeCell ref="F106:F107"/>
    <mergeCell ref="G106:G107"/>
    <mergeCell ref="H106:H107"/>
    <mergeCell ref="C104:C105"/>
    <mergeCell ref="D104:D105"/>
    <mergeCell ref="E104:E105"/>
    <mergeCell ref="F104:F105"/>
    <mergeCell ref="G104:G105"/>
    <mergeCell ref="H104:H105"/>
    <mergeCell ref="C102:C103"/>
    <mergeCell ref="D102:D103"/>
    <mergeCell ref="E102:E103"/>
    <mergeCell ref="F102:F103"/>
    <mergeCell ref="G102:G103"/>
    <mergeCell ref="H102:H103"/>
    <mergeCell ref="C100:C101"/>
    <mergeCell ref="D100:D101"/>
    <mergeCell ref="E100:E101"/>
    <mergeCell ref="F100:F101"/>
    <mergeCell ref="G100:G101"/>
    <mergeCell ref="H100:H101"/>
    <mergeCell ref="C98:C99"/>
    <mergeCell ref="D98:D99"/>
    <mergeCell ref="E98:E99"/>
    <mergeCell ref="F98:F99"/>
    <mergeCell ref="G98:G99"/>
    <mergeCell ref="H98:H99"/>
    <mergeCell ref="C96:C97"/>
    <mergeCell ref="D96:D97"/>
    <mergeCell ref="E96:E97"/>
    <mergeCell ref="F96:F97"/>
    <mergeCell ref="G96:G97"/>
    <mergeCell ref="H96:H97"/>
    <mergeCell ref="C94:C95"/>
    <mergeCell ref="D94:D95"/>
    <mergeCell ref="E94:E95"/>
    <mergeCell ref="F94:F95"/>
    <mergeCell ref="G94:G95"/>
    <mergeCell ref="H94:H95"/>
    <mergeCell ref="C92:C93"/>
    <mergeCell ref="D92:D93"/>
    <mergeCell ref="E92:E93"/>
    <mergeCell ref="F92:F93"/>
    <mergeCell ref="G92:G93"/>
    <mergeCell ref="H92:H93"/>
    <mergeCell ref="H88:H89"/>
    <mergeCell ref="C90:C91"/>
    <mergeCell ref="D90:D91"/>
    <mergeCell ref="E90:E91"/>
    <mergeCell ref="F90:F91"/>
    <mergeCell ref="G90:G91"/>
    <mergeCell ref="H90:H91"/>
    <mergeCell ref="J79:J80"/>
    <mergeCell ref="K79:K80"/>
    <mergeCell ref="L79:L80"/>
    <mergeCell ref="M79:M80"/>
    <mergeCell ref="C85:H85"/>
    <mergeCell ref="C88:C89"/>
    <mergeCell ref="D88:D89"/>
    <mergeCell ref="E88:E89"/>
    <mergeCell ref="F88:F89"/>
    <mergeCell ref="G88:G89"/>
    <mergeCell ref="L77:L78"/>
    <mergeCell ref="M77:M78"/>
    <mergeCell ref="N78:N79"/>
    <mergeCell ref="C79:C80"/>
    <mergeCell ref="D79:D80"/>
    <mergeCell ref="E79:E80"/>
    <mergeCell ref="F79:F80"/>
    <mergeCell ref="G79:G80"/>
    <mergeCell ref="H79:H80"/>
    <mergeCell ref="I79:I80"/>
    <mergeCell ref="N76:N77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4:O75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4:N75"/>
    <mergeCell ref="J75:J76"/>
    <mergeCell ref="K75:K76"/>
    <mergeCell ref="L75:L76"/>
    <mergeCell ref="M75:M76"/>
    <mergeCell ref="N72:N73"/>
    <mergeCell ref="O72:O73"/>
    <mergeCell ref="A73:A74"/>
    <mergeCell ref="B73:B74"/>
    <mergeCell ref="C73:C74"/>
    <mergeCell ref="D73:D74"/>
    <mergeCell ref="E73:E74"/>
    <mergeCell ref="F73:F74"/>
    <mergeCell ref="G73:G74"/>
    <mergeCell ref="H73:H74"/>
    <mergeCell ref="O70:O71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I69:I70"/>
    <mergeCell ref="J69:J70"/>
    <mergeCell ref="K69:K70"/>
    <mergeCell ref="L69:L70"/>
    <mergeCell ref="M69:M70"/>
    <mergeCell ref="N70:N71"/>
    <mergeCell ref="J71:J72"/>
    <mergeCell ref="K71:K72"/>
    <mergeCell ref="L71:L72"/>
    <mergeCell ref="M71:M72"/>
    <mergeCell ref="N68:N69"/>
    <mergeCell ref="O68:O69"/>
    <mergeCell ref="A69:A70"/>
    <mergeCell ref="B69:B70"/>
    <mergeCell ref="C69:C70"/>
    <mergeCell ref="D69:D70"/>
    <mergeCell ref="E69:E70"/>
    <mergeCell ref="F69:F70"/>
    <mergeCell ref="G69:G70"/>
    <mergeCell ref="H69:H70"/>
    <mergeCell ref="O66:O6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6:N67"/>
    <mergeCell ref="J67:J68"/>
    <mergeCell ref="K67:K68"/>
    <mergeCell ref="L67:L68"/>
    <mergeCell ref="M67:M68"/>
    <mergeCell ref="N64:N65"/>
    <mergeCell ref="O64:O65"/>
    <mergeCell ref="A65:A66"/>
    <mergeCell ref="B65:B66"/>
    <mergeCell ref="C65:C66"/>
    <mergeCell ref="D65:D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M61:M62"/>
    <mergeCell ref="N62:N63"/>
    <mergeCell ref="O62:O63"/>
    <mergeCell ref="A63:A64"/>
    <mergeCell ref="B63:B64"/>
    <mergeCell ref="C63:C64"/>
    <mergeCell ref="D63:D64"/>
    <mergeCell ref="E63:E64"/>
    <mergeCell ref="F63:F64"/>
    <mergeCell ref="G63:G64"/>
    <mergeCell ref="G61:G62"/>
    <mergeCell ref="H61:H62"/>
    <mergeCell ref="I61:I62"/>
    <mergeCell ref="J61:J62"/>
    <mergeCell ref="K61:K62"/>
    <mergeCell ref="L61:L62"/>
    <mergeCell ref="J51:J52"/>
    <mergeCell ref="K51:K52"/>
    <mergeCell ref="L51:L52"/>
    <mergeCell ref="M51:M52"/>
    <mergeCell ref="A61:A62"/>
    <mergeCell ref="B61:B62"/>
    <mergeCell ref="C61:C62"/>
    <mergeCell ref="D61:D62"/>
    <mergeCell ref="E61:E62"/>
    <mergeCell ref="F61:F62"/>
    <mergeCell ref="L49:L50"/>
    <mergeCell ref="M49:M50"/>
    <mergeCell ref="N50:N51"/>
    <mergeCell ref="C51:C52"/>
    <mergeCell ref="D51:D52"/>
    <mergeCell ref="E51:E52"/>
    <mergeCell ref="F51:F52"/>
    <mergeCell ref="G51:G52"/>
    <mergeCell ref="H51:H52"/>
    <mergeCell ref="I51:I52"/>
    <mergeCell ref="N48:N49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O46:O47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5:I46"/>
    <mergeCell ref="J45:J46"/>
    <mergeCell ref="K45:K46"/>
    <mergeCell ref="L45:L46"/>
    <mergeCell ref="M45:M46"/>
    <mergeCell ref="N46:N47"/>
    <mergeCell ref="J47:J48"/>
    <mergeCell ref="K47:K48"/>
    <mergeCell ref="L47:L48"/>
    <mergeCell ref="M47:M48"/>
    <mergeCell ref="N44:N45"/>
    <mergeCell ref="O44:O45"/>
    <mergeCell ref="A45:A46"/>
    <mergeCell ref="B45:B46"/>
    <mergeCell ref="C45:C46"/>
    <mergeCell ref="D45:D46"/>
    <mergeCell ref="E45:E46"/>
    <mergeCell ref="F45:F46"/>
    <mergeCell ref="G45:G46"/>
    <mergeCell ref="H45:H46"/>
    <mergeCell ref="O42:O43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I41:I42"/>
    <mergeCell ref="J41:J42"/>
    <mergeCell ref="K41:K42"/>
    <mergeCell ref="L41:L42"/>
    <mergeCell ref="M41:M42"/>
    <mergeCell ref="N42:N43"/>
    <mergeCell ref="J43:J44"/>
    <mergeCell ref="K43:K44"/>
    <mergeCell ref="L43:L44"/>
    <mergeCell ref="M43:M44"/>
    <mergeCell ref="N40:N41"/>
    <mergeCell ref="O40:O41"/>
    <mergeCell ref="A41:A42"/>
    <mergeCell ref="B41:B42"/>
    <mergeCell ref="C41:C42"/>
    <mergeCell ref="D41:D42"/>
    <mergeCell ref="E41:E42"/>
    <mergeCell ref="F41:F42"/>
    <mergeCell ref="G41:G42"/>
    <mergeCell ref="H41:H42"/>
    <mergeCell ref="O38:O39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I37:I38"/>
    <mergeCell ref="J37:J38"/>
    <mergeCell ref="K37:K38"/>
    <mergeCell ref="L37:L38"/>
    <mergeCell ref="M37:M38"/>
    <mergeCell ref="N38:N39"/>
    <mergeCell ref="J39:J40"/>
    <mergeCell ref="K39:K40"/>
    <mergeCell ref="L39:L40"/>
    <mergeCell ref="M39:M40"/>
    <mergeCell ref="N36:N37"/>
    <mergeCell ref="O36:O37"/>
    <mergeCell ref="A37:A38"/>
    <mergeCell ref="B37:B38"/>
    <mergeCell ref="C37:C38"/>
    <mergeCell ref="D37:D38"/>
    <mergeCell ref="E37:E38"/>
    <mergeCell ref="F37:F38"/>
    <mergeCell ref="G37:G38"/>
    <mergeCell ref="H37:H38"/>
    <mergeCell ref="H35:H36"/>
    <mergeCell ref="I35:I36"/>
    <mergeCell ref="J35:J36"/>
    <mergeCell ref="K35:K36"/>
    <mergeCell ref="L35:L36"/>
    <mergeCell ref="M35:M36"/>
    <mergeCell ref="M33:M34"/>
    <mergeCell ref="N34:N35"/>
    <mergeCell ref="O34:O35"/>
    <mergeCell ref="A35:A36"/>
    <mergeCell ref="B35:B36"/>
    <mergeCell ref="C35:C36"/>
    <mergeCell ref="D35:D36"/>
    <mergeCell ref="E35:E36"/>
    <mergeCell ref="F35:F36"/>
    <mergeCell ref="G35:G36"/>
    <mergeCell ref="G33:G34"/>
    <mergeCell ref="H33:H34"/>
    <mergeCell ref="I33:I34"/>
    <mergeCell ref="J33:J34"/>
    <mergeCell ref="K33:K34"/>
    <mergeCell ref="L33:L34"/>
    <mergeCell ref="J23:J24"/>
    <mergeCell ref="K23:K24"/>
    <mergeCell ref="L23:L24"/>
    <mergeCell ref="M23:M24"/>
    <mergeCell ref="A33:A34"/>
    <mergeCell ref="B33:B34"/>
    <mergeCell ref="C33:C34"/>
    <mergeCell ref="D33:D34"/>
    <mergeCell ref="E33:E34"/>
    <mergeCell ref="F33:F34"/>
    <mergeCell ref="L21:L22"/>
    <mergeCell ref="M21:M22"/>
    <mergeCell ref="N22:N23"/>
    <mergeCell ref="C23:C24"/>
    <mergeCell ref="D23:D24"/>
    <mergeCell ref="E23:E24"/>
    <mergeCell ref="F23:F24"/>
    <mergeCell ref="G23:G24"/>
    <mergeCell ref="H23:H24"/>
    <mergeCell ref="I23:I24"/>
    <mergeCell ref="N20:N21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18:O1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I17:I18"/>
    <mergeCell ref="J17:J18"/>
    <mergeCell ref="K17:K18"/>
    <mergeCell ref="L17:L18"/>
    <mergeCell ref="M17:M18"/>
    <mergeCell ref="N18:N19"/>
    <mergeCell ref="J19:J20"/>
    <mergeCell ref="K19:K20"/>
    <mergeCell ref="L19:L20"/>
    <mergeCell ref="M19:M20"/>
    <mergeCell ref="N16:N17"/>
    <mergeCell ref="O16:O17"/>
    <mergeCell ref="A17:A18"/>
    <mergeCell ref="B17:B18"/>
    <mergeCell ref="C17:C18"/>
    <mergeCell ref="D17:D18"/>
    <mergeCell ref="E17:E18"/>
    <mergeCell ref="F17:F18"/>
    <mergeCell ref="G17:G18"/>
    <mergeCell ref="H17:H18"/>
    <mergeCell ref="O14:O1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4:N15"/>
    <mergeCell ref="J15:J16"/>
    <mergeCell ref="K15:K16"/>
    <mergeCell ref="L15:L16"/>
    <mergeCell ref="M15:M16"/>
    <mergeCell ref="N12:N13"/>
    <mergeCell ref="O12:O13"/>
    <mergeCell ref="A13:A14"/>
    <mergeCell ref="B13:B14"/>
    <mergeCell ref="C13:C14"/>
    <mergeCell ref="D13:D14"/>
    <mergeCell ref="E13:E14"/>
    <mergeCell ref="F13:F14"/>
    <mergeCell ref="G13:G14"/>
    <mergeCell ref="H13:H14"/>
    <mergeCell ref="O10:O1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I9:I10"/>
    <mergeCell ref="J9:J10"/>
    <mergeCell ref="K9:K10"/>
    <mergeCell ref="L9:L10"/>
    <mergeCell ref="M9:M10"/>
    <mergeCell ref="N10:N11"/>
    <mergeCell ref="J11:J12"/>
    <mergeCell ref="K11:K12"/>
    <mergeCell ref="L11:L12"/>
    <mergeCell ref="M11:M12"/>
    <mergeCell ref="N8:N9"/>
    <mergeCell ref="O8:O9"/>
    <mergeCell ref="A9:A10"/>
    <mergeCell ref="B9:B10"/>
    <mergeCell ref="C9:C10"/>
    <mergeCell ref="D9:D10"/>
    <mergeCell ref="E9:E10"/>
    <mergeCell ref="F9:F10"/>
    <mergeCell ref="G9:G10"/>
    <mergeCell ref="H9:H10"/>
    <mergeCell ref="H7:H8"/>
    <mergeCell ref="I7:I8"/>
    <mergeCell ref="J7:J8"/>
    <mergeCell ref="K7:K8"/>
    <mergeCell ref="L7:L8"/>
    <mergeCell ref="M7:M8"/>
    <mergeCell ref="M5:M6"/>
    <mergeCell ref="N6:N7"/>
    <mergeCell ref="O6:O7"/>
    <mergeCell ref="A7:A8"/>
    <mergeCell ref="B7:B8"/>
    <mergeCell ref="C7:C8"/>
    <mergeCell ref="D7:D8"/>
    <mergeCell ref="E7:E8"/>
    <mergeCell ref="F7:F8"/>
    <mergeCell ref="G7:G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" footer="0"/>
  <pageSetup fitToHeight="1" fitToWidth="1" horizontalDpi="300" verticalDpi="300" orientation="portrait" paperSize="9" scale="4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="140" zoomScaleNormal="140" zoomScalePageLayoutView="0" workbookViewId="0" topLeftCell="A1">
      <selection activeCell="G20" sqref="G20"/>
    </sheetView>
  </sheetViews>
  <sheetFormatPr defaultColWidth="9.140625" defaultRowHeight="12.75"/>
  <cols>
    <col min="1" max="2" width="8.8515625" style="249" customWidth="1"/>
    <col min="3" max="3" width="14.7109375" style="249" customWidth="1"/>
    <col min="4" max="4" width="13.421875" style="249" customWidth="1"/>
    <col min="5" max="5" width="16.8515625" style="249" hidden="1" customWidth="1"/>
    <col min="6" max="6" width="16.28125" style="249" customWidth="1"/>
    <col min="7" max="7" width="13.8515625" style="249" customWidth="1"/>
    <col min="8" max="8" width="10.8515625" style="249" bestFit="1" customWidth="1"/>
    <col min="9" max="9" width="15.140625" style="249" bestFit="1" customWidth="1"/>
    <col min="10" max="10" width="12.421875" style="249" customWidth="1"/>
    <col min="11" max="11" width="12.140625" style="249" customWidth="1"/>
    <col min="12" max="16384" width="8.8515625" style="249" customWidth="1"/>
  </cols>
  <sheetData>
    <row r="1" spans="1:9" ht="27" thickBot="1">
      <c r="A1" s="349"/>
      <c r="B1" s="349" t="s">
        <v>190</v>
      </c>
      <c r="C1" s="350" t="str">
        <f>'opg 1.3 Prisoptimering'!N4</f>
        <v>Differensbidrag pr. time</v>
      </c>
      <c r="D1" s="350" t="s">
        <v>191</v>
      </c>
      <c r="E1" s="351" t="s">
        <v>211</v>
      </c>
      <c r="F1" s="349" t="s">
        <v>212</v>
      </c>
      <c r="G1" s="349" t="s">
        <v>190</v>
      </c>
      <c r="H1" s="352" t="str">
        <f>D1</f>
        <v>Ekstra timeforbrug</v>
      </c>
      <c r="I1" s="353" t="s">
        <v>213</v>
      </c>
    </row>
    <row r="2" spans="1:9" ht="12.75">
      <c r="A2" s="354">
        <v>1</v>
      </c>
      <c r="B2" s="355" t="str">
        <f>CONCATENATE(1," ",'opg 1.3 Prisoptimering'!$D$2)</f>
        <v>1 Dk</v>
      </c>
      <c r="C2" s="356">
        <f>'opg 1.3 Prisoptimering'!N5</f>
        <v>1300</v>
      </c>
      <c r="D2" s="357">
        <f>'opg 1.3 Prisoptimering'!O5</f>
        <v>1000</v>
      </c>
      <c r="E2" s="358">
        <f aca="true" t="shared" si="0" ref="E2:E25">SMALL($C$2:$C$25,A2)</f>
        <v>0</v>
      </c>
      <c r="F2" s="359">
        <f aca="true" t="shared" si="1" ref="F2:F25">LARGE($E$2:$E$25,A2)</f>
        <v>1300</v>
      </c>
      <c r="G2" s="354" t="str">
        <f>IF(F2=C2,B2,IF(F2=C10,B10,IF(F2=C18,B18)))</f>
        <v>1 Dk</v>
      </c>
      <c r="H2" s="360">
        <f>IF(G2=$B$2,$D$2,IF(G2=$B$10,$D$10,IF(G2=$B$18,$D$18)))</f>
        <v>1000</v>
      </c>
      <c r="I2" s="361">
        <f>H2</f>
        <v>1000</v>
      </c>
    </row>
    <row r="3" spans="1:9" ht="12.75">
      <c r="A3" s="362">
        <f aca="true" t="shared" si="2" ref="A3:A25">A2+1</f>
        <v>2</v>
      </c>
      <c r="B3" s="363" t="str">
        <f>CONCATENATE(2," ",'opg 1.3 Prisoptimering'!$D$2)</f>
        <v>2 Dk</v>
      </c>
      <c r="C3" s="364">
        <f>'opg 1.3 Prisoptimering'!N6</f>
        <v>1100</v>
      </c>
      <c r="D3" s="365">
        <f>'opg 1.3 Prisoptimering'!O6</f>
        <v>1000</v>
      </c>
      <c r="E3" s="366">
        <f t="shared" si="0"/>
        <v>0</v>
      </c>
      <c r="F3" s="367">
        <f t="shared" si="1"/>
        <v>1100</v>
      </c>
      <c r="G3" s="362" t="str">
        <f>IF(F3=$C$2,$B$2,IF(F3=$C$3,$B$3,IF(F3=$C$10,$B$10,IF(F3=$C$11,$B$11,IF(F3=$C$18,$B$18,IF(F3=$C$19,$B$19))))))</f>
        <v>2 Dk</v>
      </c>
      <c r="H3" s="105">
        <f>IF(G3=$B$2,$D$2,IF(G3=$B$10,$D$10,IF(G3=$B$18,$D$18,IF(G3=$B$3,$D$3,IF(G3=$B$11,$D$11,IF(G3=$B$19,$D$19,IF(G3=$B$4,$D$4,IF(G3=$B$12,$D$12))))))))</f>
        <v>1000</v>
      </c>
      <c r="I3" s="361">
        <f>H3+I2</f>
        <v>2000</v>
      </c>
    </row>
    <row r="4" spans="1:9" ht="12.75">
      <c r="A4" s="362">
        <f t="shared" si="2"/>
        <v>3</v>
      </c>
      <c r="B4" s="363" t="str">
        <f>CONCATENATE(3," ",'opg 1.3 Prisoptimering'!$D$2)</f>
        <v>3 Dk</v>
      </c>
      <c r="C4" s="364">
        <f>'opg 1.3 Prisoptimering'!N8</f>
        <v>900</v>
      </c>
      <c r="D4" s="365">
        <f>'opg 1.3 Prisoptimering'!O8</f>
        <v>1000</v>
      </c>
      <c r="E4" s="366">
        <f t="shared" si="0"/>
        <v>0</v>
      </c>
      <c r="F4" s="367">
        <f t="shared" si="1"/>
        <v>950</v>
      </c>
      <c r="G4" s="362" t="str">
        <f>IF(F4=$C$2,$B$2,IF(F4=$C$3,$B$3,IF(F4=$C$10,$B$10,IF(F4=$C$11,$B$11,IF(F4=$C$18,$B$18,IF(F4=$C$19,$B$19,IF(F4=$C$4,$B$4,IF(F4=$C$12,$B$12,))))))))</f>
        <v>1 Tysk</v>
      </c>
      <c r="H4" s="105">
        <f>IF(G4=$B$2,$D$2,IF(G4=$B$10,$D$10,IF(G4=$B$18,$D$18,IF(G4=$B$3,$D$3,IF(G4=$B$11,$D$11,IF(G4=$B$19,$D$19,IF(G4=$B$4,$D$4,IF(G4=$B$12,$D$12))))))))</f>
        <v>1000</v>
      </c>
      <c r="I4" s="361">
        <f aca="true" t="shared" si="3" ref="I4:I13">H4+I3</f>
        <v>3000</v>
      </c>
    </row>
    <row r="5" spans="1:9" ht="12.75">
      <c r="A5" s="362">
        <f t="shared" si="2"/>
        <v>4</v>
      </c>
      <c r="B5" s="363" t="str">
        <f>CONCATENATE(4," ",'opg 1.3 Prisoptimering'!$D$2)</f>
        <v>4 Dk</v>
      </c>
      <c r="C5" s="364">
        <f>'opg 1.3 Prisoptimering'!N10</f>
        <v>700</v>
      </c>
      <c r="D5" s="365">
        <f>'opg 1.3 Prisoptimering'!O10</f>
        <v>1000</v>
      </c>
      <c r="E5" s="366">
        <f t="shared" si="0"/>
        <v>0</v>
      </c>
      <c r="F5" s="367">
        <f t="shared" si="1"/>
        <v>900</v>
      </c>
      <c r="G5" s="362" t="str">
        <f>IF(F5=$C$2,$B$2,IF(F5=$C$3,$B$3,IF(F5=$C$10,$B$10,IF(F5=$C$11,$B$11,IF(F5=$C$18,$B$18,IF(F5=$C$19,$B$19,IF(F5=$C$4,$B$4,IF(F5=$C$12,$B$12,))))))))</f>
        <v>3 Dk</v>
      </c>
      <c r="H5" s="105">
        <f>IF(G5=$B$2,$D$2,IF(G5=$B$10,$D$10,IF(G5=$B$18,$D$18,IF(G5=$B$3,$D$3,IF(G5=$B$11,$D$11,IF(G5=$B$19,$D$19,IF(G5=$B$4,$D$4,IF(G5=$B$12,$D$12))))))))</f>
        <v>1000</v>
      </c>
      <c r="I5" s="361">
        <f t="shared" si="3"/>
        <v>4000</v>
      </c>
    </row>
    <row r="6" spans="1:9" ht="12.75">
      <c r="A6" s="362">
        <f t="shared" si="2"/>
        <v>5</v>
      </c>
      <c r="B6" s="363" t="str">
        <f>CONCATENATE(5," ",'opg 1.3 Prisoptimering'!$D$2)</f>
        <v>5 Dk</v>
      </c>
      <c r="C6" s="364">
        <f>'opg 1.3 Prisoptimering'!N12</f>
        <v>500</v>
      </c>
      <c r="D6" s="365">
        <f>'opg 1.3 Prisoptimering'!O12</f>
        <v>1000</v>
      </c>
      <c r="E6" s="366">
        <f t="shared" si="0"/>
        <v>0</v>
      </c>
      <c r="F6" s="367">
        <f t="shared" si="1"/>
        <v>850</v>
      </c>
      <c r="G6" s="362" t="str">
        <f>IF(F6=$C$2,$B$2,IF(F6=$C$3,$B$3,IF(F6=$C$10,$B$10,IF(F6=$C$11,$B$11,IF(F6=$C$18,$B$18,IF(F6=$C$19,$B$19,IF(F6=$C$4,$B$4,IF(F6=$C$12,$B$12,))))))))</f>
        <v>2 Tysk</v>
      </c>
      <c r="H6" s="105">
        <f>IF(G6=$B$2,$D$2,IF(G6=$B$10,$D$10,IF(G6=$B$18,$D$18,IF(G6=$B$3,$D$3,IF(G6=$B$11,$D$11,IF(G6=$B$19,$D$19,IF(G6=$B$4,$D$4,IF(G6=$B$12,$D$12))))))))</f>
        <v>1000</v>
      </c>
      <c r="I6" s="361">
        <f t="shared" si="3"/>
        <v>5000</v>
      </c>
    </row>
    <row r="7" spans="1:9" ht="12.75">
      <c r="A7" s="362">
        <f t="shared" si="2"/>
        <v>6</v>
      </c>
      <c r="B7" s="363" t="str">
        <f>CONCATENATE(6," ",'opg 1.3 Prisoptimering'!$D$2)</f>
        <v>6 Dk</v>
      </c>
      <c r="C7" s="364">
        <f>'opg 1.3 Prisoptimering'!N14</f>
        <v>300</v>
      </c>
      <c r="D7" s="365">
        <f>'opg 1.3 Prisoptimering'!O14</f>
        <v>1000</v>
      </c>
      <c r="E7" s="366">
        <f t="shared" si="0"/>
        <v>0</v>
      </c>
      <c r="F7" s="367">
        <f>LARGE($E$2:$E$25,A7)</f>
        <v>750</v>
      </c>
      <c r="G7" s="362" t="str">
        <f>IF(F7=$C$2,$B$2,IF(F7=$C$3,$B$3,IF(F7=$C$10,$B$10,IF(F7=$C$11,$B$11,IF(F7=$C$18,$B$18,IF(F7=$C$19,$B$19,IF(F7=$C$4,$B$4,IF(F7=$C$12,$B$12,))))))))</f>
        <v>3 Tysk</v>
      </c>
      <c r="H7" s="105">
        <f>IF(G7=$B$2,$D$2,IF(G7=$B$10,$D$10,IF(G7=$B$18,$D$18,IF(G7=$B$3,$D$3,IF(G7=$B$11,$D$11,IF(G7=$B$19,$D$19,IF(G7=$B$4,$D$4,IF(G7=$B$12,$D$12))))))))</f>
        <v>1000</v>
      </c>
      <c r="I7" s="361">
        <f t="shared" si="3"/>
        <v>6000</v>
      </c>
    </row>
    <row r="8" spans="1:9" ht="12.75">
      <c r="A8" s="362">
        <f t="shared" si="2"/>
        <v>7</v>
      </c>
      <c r="B8" s="363" t="str">
        <f>CONCATENATE(7," ",'opg 1.3 Prisoptimering'!$D$2)</f>
        <v>7 Dk</v>
      </c>
      <c r="C8" s="364">
        <f>'opg 1.3 Prisoptimering'!N16</f>
        <v>0</v>
      </c>
      <c r="D8" s="365">
        <f>'opg 1.3 Prisoptimering'!O16</f>
        <v>0</v>
      </c>
      <c r="E8" s="366">
        <f t="shared" si="0"/>
        <v>0</v>
      </c>
      <c r="F8" s="367">
        <f t="shared" si="1"/>
        <v>700</v>
      </c>
      <c r="G8" s="362" t="str">
        <f>B13</f>
        <v>4 Tysk</v>
      </c>
      <c r="H8" s="105">
        <f>IF(G8=$B$2,$D$2,IF(G8=$B$13,$D$13,IF(G8=$B$18,$D$18,IF(G8=$B$3,$D$3,IF(G8=$B$11,$D$11,IF(G8=$B$19,$D$19,IF(G8=$B$4,$D$4,IF(G8=$B$12,$D$12))))))))</f>
        <v>1000</v>
      </c>
      <c r="I8" s="361">
        <f t="shared" si="3"/>
        <v>7000</v>
      </c>
    </row>
    <row r="9" spans="1:9" ht="13.5" thickBot="1">
      <c r="A9" s="362">
        <f t="shared" si="2"/>
        <v>8</v>
      </c>
      <c r="B9" s="363" t="str">
        <f>CONCATENATE(7," ",'opg 1.3 Prisoptimering'!$D$2)</f>
        <v>7 Dk</v>
      </c>
      <c r="C9" s="364">
        <f>'opg 1.3 Prisoptimering'!N18</f>
        <v>0</v>
      </c>
      <c r="D9" s="365">
        <f>'opg 1.3 Prisoptimering'!O18</f>
        <v>0</v>
      </c>
      <c r="E9" s="366">
        <f t="shared" si="0"/>
        <v>0</v>
      </c>
      <c r="F9" s="367">
        <f t="shared" si="1"/>
        <v>650</v>
      </c>
      <c r="G9" s="362" t="str">
        <f>IF(F9=$C$5,$B$5,IF(F9=$C$3,$B$3,IF(F9=$C$13,$B$13,IF(F9=$C$11,$B$11,IF(F9=$C$19,$B$19,IF(F9=$C$20,$B$20,IF(F9=$C$4,$B$4,IF(F9=$C$12,$B$12,))))))))</f>
        <v>4 Tysk</v>
      </c>
      <c r="H9" s="105">
        <f>IF(G9=$B$5,$D$5,IF(G9=$B$13,$D$13,IF(G9=$B$20,$D$20,IF(G9=$B$3,$D$3,IF(G9=$B$11,$D$11,IF(G9=$B$19,$D$19,IF(G9=$B$4,$D$4,IF(G9=$B$12,$D$12))))))))</f>
        <v>1000</v>
      </c>
      <c r="I9" s="361">
        <f t="shared" si="3"/>
        <v>8000</v>
      </c>
    </row>
    <row r="10" spans="1:9" ht="12.75">
      <c r="A10" s="354">
        <f t="shared" si="2"/>
        <v>9</v>
      </c>
      <c r="B10" s="355" t="str">
        <f>CONCATENATE(1," ",'opg 1.3 Prisoptimering'!$D$30)</f>
        <v>1 Tysk</v>
      </c>
      <c r="C10" s="356">
        <f>'opg 1.3 Prisoptimering'!N33</f>
        <v>950</v>
      </c>
      <c r="D10" s="357">
        <f>'opg 1.3 Prisoptimering'!O33</f>
        <v>1000</v>
      </c>
      <c r="E10" s="358">
        <f t="shared" si="0"/>
        <v>0</v>
      </c>
      <c r="F10" s="359">
        <f t="shared" si="1"/>
        <v>550</v>
      </c>
      <c r="G10" s="363" t="str">
        <f>B14</f>
        <v>5 Tysk</v>
      </c>
      <c r="H10" s="105">
        <v>1000</v>
      </c>
      <c r="I10" s="361">
        <f t="shared" si="3"/>
        <v>9000</v>
      </c>
    </row>
    <row r="11" spans="1:9" ht="12.75">
      <c r="A11" s="362">
        <f t="shared" si="2"/>
        <v>10</v>
      </c>
      <c r="B11" s="363" t="str">
        <f>CONCATENATE(2," ",'opg 1.3 Prisoptimering'!$D$30)</f>
        <v>2 Tysk</v>
      </c>
      <c r="C11" s="364">
        <f>'opg 1.3 Prisoptimering'!N34</f>
        <v>850</v>
      </c>
      <c r="D11" s="365">
        <f>'opg 1.3 Prisoptimering'!O34</f>
        <v>1000</v>
      </c>
      <c r="E11" s="366">
        <f t="shared" si="0"/>
        <v>0</v>
      </c>
      <c r="F11" s="367">
        <f t="shared" si="1"/>
        <v>500</v>
      </c>
      <c r="G11" s="363" t="str">
        <f>B6</f>
        <v>5 Dk</v>
      </c>
      <c r="H11" s="105">
        <v>1000</v>
      </c>
      <c r="I11" s="361">
        <f t="shared" si="3"/>
        <v>10000</v>
      </c>
    </row>
    <row r="12" spans="1:9" ht="12.75">
      <c r="A12" s="362">
        <f t="shared" si="2"/>
        <v>11</v>
      </c>
      <c r="B12" s="363" t="str">
        <f>CONCATENATE(3," ",'opg 1.3 Prisoptimering'!$D$30)</f>
        <v>3 Tysk</v>
      </c>
      <c r="C12" s="364">
        <f>'opg 1.3 Prisoptimering'!N36</f>
        <v>750</v>
      </c>
      <c r="D12" s="365">
        <f>'opg 1.3 Prisoptimering'!O36</f>
        <v>1000</v>
      </c>
      <c r="E12" s="366">
        <f t="shared" si="0"/>
        <v>300</v>
      </c>
      <c r="F12" s="367">
        <f t="shared" si="1"/>
        <v>450</v>
      </c>
      <c r="G12" s="363" t="str">
        <f>B15</f>
        <v>6 Tysk</v>
      </c>
      <c r="H12" s="105">
        <v>1000</v>
      </c>
      <c r="I12" s="361">
        <f t="shared" si="3"/>
        <v>11000</v>
      </c>
    </row>
    <row r="13" spans="1:9" ht="13.5" thickBot="1">
      <c r="A13" s="362">
        <f t="shared" si="2"/>
        <v>12</v>
      </c>
      <c r="B13" s="363" t="str">
        <f>CONCATENATE(4," ",'opg 1.3 Prisoptimering'!$D$30)</f>
        <v>4 Tysk</v>
      </c>
      <c r="C13" s="364">
        <f>'opg 1.3 Prisoptimering'!N38</f>
        <v>650</v>
      </c>
      <c r="D13" s="365">
        <f>'opg 1.3 Prisoptimering'!O38</f>
        <v>1000</v>
      </c>
      <c r="E13" s="366">
        <f t="shared" si="0"/>
        <v>350</v>
      </c>
      <c r="F13" s="274">
        <f t="shared" si="1"/>
        <v>400</v>
      </c>
      <c r="G13" s="368" t="str">
        <f>B18</f>
        <v>1 Sverige</v>
      </c>
      <c r="H13" s="369">
        <v>2000</v>
      </c>
      <c r="I13" s="370">
        <f t="shared" si="3"/>
        <v>13000</v>
      </c>
    </row>
    <row r="14" spans="1:6" ht="12.75">
      <c r="A14" s="362">
        <f t="shared" si="2"/>
        <v>13</v>
      </c>
      <c r="B14" s="363" t="str">
        <f>CONCATENATE(5," ",'opg 1.3 Prisoptimering'!$D$30)</f>
        <v>5 Tysk</v>
      </c>
      <c r="C14" s="364">
        <f>'opg 1.3 Prisoptimering'!N40</f>
        <v>550</v>
      </c>
      <c r="D14" s="365">
        <f>'opg 1.3 Prisoptimering'!O40</f>
        <v>1000</v>
      </c>
      <c r="E14" s="366">
        <f t="shared" si="0"/>
        <v>400</v>
      </c>
      <c r="F14" s="367">
        <f t="shared" si="1"/>
        <v>350</v>
      </c>
    </row>
    <row r="15" spans="1:6" ht="12.75">
      <c r="A15" s="362">
        <f t="shared" si="2"/>
        <v>14</v>
      </c>
      <c r="B15" s="363" t="str">
        <f>CONCATENATE(6," ",'opg 1.3 Prisoptimering'!$D$30)</f>
        <v>6 Tysk</v>
      </c>
      <c r="C15" s="364">
        <f>'opg 1.3 Prisoptimering'!N42</f>
        <v>450</v>
      </c>
      <c r="D15" s="365">
        <f>'opg 1.3 Prisoptimering'!O42</f>
        <v>1000</v>
      </c>
      <c r="E15" s="366">
        <f t="shared" si="0"/>
        <v>450</v>
      </c>
      <c r="F15" s="367">
        <f t="shared" si="1"/>
        <v>300</v>
      </c>
    </row>
    <row r="16" spans="1:6" ht="12.75">
      <c r="A16" s="362">
        <f t="shared" si="2"/>
        <v>15</v>
      </c>
      <c r="B16" s="363" t="str">
        <f>CONCATENATE(7," ",'opg 1.3 Prisoptimering'!$D$30)</f>
        <v>7 Tysk</v>
      </c>
      <c r="C16" s="364">
        <f>'opg 1.3 Prisoptimering'!N44</f>
        <v>350</v>
      </c>
      <c r="D16" s="365">
        <f>'opg 1.3 Prisoptimering'!O44</f>
        <v>1000</v>
      </c>
      <c r="E16" s="366">
        <f t="shared" si="0"/>
        <v>500</v>
      </c>
      <c r="F16" s="367">
        <f t="shared" si="1"/>
        <v>0</v>
      </c>
    </row>
    <row r="17" spans="1:6" ht="13.5" thickBot="1">
      <c r="A17" s="362">
        <f t="shared" si="2"/>
        <v>16</v>
      </c>
      <c r="B17" s="363" t="str">
        <f>CONCATENATE(8," ",'opg 1.3 Prisoptimering'!$D$30)</f>
        <v>8 Tysk</v>
      </c>
      <c r="C17" s="364">
        <f>'opg 1.3 Prisoptimering'!N46</f>
        <v>0</v>
      </c>
      <c r="D17" s="365">
        <f>'opg 1.3 Prisoptimering'!O46</f>
        <v>0</v>
      </c>
      <c r="E17" s="366">
        <f t="shared" si="0"/>
        <v>550</v>
      </c>
      <c r="F17" s="274">
        <f t="shared" si="1"/>
        <v>0</v>
      </c>
    </row>
    <row r="18" spans="1:6" ht="12.75">
      <c r="A18" s="354">
        <f t="shared" si="2"/>
        <v>17</v>
      </c>
      <c r="B18" s="355" t="str">
        <f>CONCATENATE(1," ",'opg 1.3 Prisoptimering'!$D$58)</f>
        <v>1 Sverige</v>
      </c>
      <c r="C18" s="356">
        <f>'opg 1.3 Prisoptimering'!N61</f>
        <v>400</v>
      </c>
      <c r="D18" s="357">
        <f>'opg 1.3 Prisoptimering'!O61</f>
        <v>5000</v>
      </c>
      <c r="E18" s="358">
        <f t="shared" si="0"/>
        <v>650</v>
      </c>
      <c r="F18" s="105">
        <f t="shared" si="1"/>
        <v>0</v>
      </c>
    </row>
    <row r="19" spans="1:6" ht="12.75">
      <c r="A19" s="362">
        <f t="shared" si="2"/>
        <v>18</v>
      </c>
      <c r="B19" s="363" t="str">
        <f>CONCATENATE(2," ",'opg 1.3 Prisoptimering'!$D$58)</f>
        <v>2 Sverige</v>
      </c>
      <c r="C19" s="364">
        <f>'opg 1.3 Prisoptimering'!N62</f>
        <v>0</v>
      </c>
      <c r="D19" s="365">
        <f>'opg 1.3 Prisoptimering'!O62</f>
        <v>0</v>
      </c>
      <c r="E19" s="366">
        <f t="shared" si="0"/>
        <v>700</v>
      </c>
      <c r="F19" s="105">
        <f t="shared" si="1"/>
        <v>0</v>
      </c>
    </row>
    <row r="20" spans="1:6" ht="12.75">
      <c r="A20" s="362">
        <f t="shared" si="2"/>
        <v>19</v>
      </c>
      <c r="B20" s="363" t="str">
        <f>CONCATENATE(3," ",'opg 1.3 Prisoptimering'!$D$58)</f>
        <v>3 Sverige</v>
      </c>
      <c r="C20" s="364">
        <f>'opg 1.3 Prisoptimering'!N64</f>
        <v>0</v>
      </c>
      <c r="D20" s="365">
        <f>'opg 1.3 Prisoptimering'!O64</f>
        <v>0</v>
      </c>
      <c r="E20" s="366">
        <f t="shared" si="0"/>
        <v>750</v>
      </c>
      <c r="F20" s="105">
        <f t="shared" si="1"/>
        <v>0</v>
      </c>
    </row>
    <row r="21" spans="1:6" ht="12.75">
      <c r="A21" s="362">
        <f t="shared" si="2"/>
        <v>20</v>
      </c>
      <c r="B21" s="363" t="str">
        <f>CONCATENATE(4," ",'opg 1.3 Prisoptimering'!$D$58)</f>
        <v>4 Sverige</v>
      </c>
      <c r="C21" s="364">
        <f>'opg 1.3 Prisoptimering'!N66</f>
        <v>0</v>
      </c>
      <c r="D21" s="365">
        <f>'opg 1.3 Prisoptimering'!O66</f>
        <v>0</v>
      </c>
      <c r="E21" s="366">
        <f t="shared" si="0"/>
        <v>850</v>
      </c>
      <c r="F21" s="105">
        <f t="shared" si="1"/>
        <v>0</v>
      </c>
    </row>
    <row r="22" spans="1:6" ht="12.75">
      <c r="A22" s="362">
        <f t="shared" si="2"/>
        <v>21</v>
      </c>
      <c r="B22" s="363" t="str">
        <f>CONCATENATE(5," ",'opg 1.3 Prisoptimering'!$D$58)</f>
        <v>5 Sverige</v>
      </c>
      <c r="C22" s="364">
        <f>'opg 1.3 Prisoptimering'!N68</f>
        <v>0</v>
      </c>
      <c r="D22" s="365">
        <f>'opg 1.3 Prisoptimering'!O68</f>
        <v>0</v>
      </c>
      <c r="E22" s="366">
        <f t="shared" si="0"/>
        <v>900</v>
      </c>
      <c r="F22" s="105">
        <f t="shared" si="1"/>
        <v>0</v>
      </c>
    </row>
    <row r="23" spans="1:6" ht="12.75">
      <c r="A23" s="362">
        <f t="shared" si="2"/>
        <v>22</v>
      </c>
      <c r="B23" s="363" t="str">
        <f>CONCATENATE(6," ",'opg 1.3 Prisoptimering'!$D$58)</f>
        <v>6 Sverige</v>
      </c>
      <c r="C23" s="364">
        <f>'opg 1.3 Prisoptimering'!N70</f>
        <v>0</v>
      </c>
      <c r="D23" s="365">
        <f>'opg 1.3 Prisoptimering'!O70</f>
        <v>0</v>
      </c>
      <c r="E23" s="366">
        <f t="shared" si="0"/>
        <v>950</v>
      </c>
      <c r="F23" s="105">
        <f t="shared" si="1"/>
        <v>0</v>
      </c>
    </row>
    <row r="24" spans="1:6" ht="12.75">
      <c r="A24" s="362">
        <f t="shared" si="2"/>
        <v>23</v>
      </c>
      <c r="B24" s="363" t="str">
        <f>CONCATENATE(7," ",'opg 1.3 Prisoptimering'!$D$58)</f>
        <v>7 Sverige</v>
      </c>
      <c r="C24" s="364">
        <f>'opg 1.3 Prisoptimering'!N72</f>
        <v>0</v>
      </c>
      <c r="D24" s="365">
        <f>'opg 1.3 Prisoptimering'!O72</f>
        <v>0</v>
      </c>
      <c r="E24" s="366">
        <f t="shared" si="0"/>
        <v>1100</v>
      </c>
      <c r="F24" s="105">
        <f t="shared" si="1"/>
        <v>0</v>
      </c>
    </row>
    <row r="25" spans="1:6" ht="13.5" thickBot="1">
      <c r="A25" s="371">
        <f t="shared" si="2"/>
        <v>24</v>
      </c>
      <c r="B25" s="368" t="str">
        <f>CONCATENATE(8," ",'opg 1.3 Prisoptimering'!$D$58)</f>
        <v>8 Sverige</v>
      </c>
      <c r="C25" s="372">
        <f>'opg 1.3 Prisoptimering'!N74</f>
        <v>0</v>
      </c>
      <c r="D25" s="373">
        <f>'opg 1.3 Prisoptimering'!O74</f>
        <v>0</v>
      </c>
      <c r="E25" s="374">
        <f t="shared" si="0"/>
        <v>1300</v>
      </c>
      <c r="F25" s="369">
        <f t="shared" si="1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6">
      <selection activeCell="F66" sqref="F66:F68"/>
    </sheetView>
  </sheetViews>
  <sheetFormatPr defaultColWidth="9.140625" defaultRowHeight="12.75"/>
  <cols>
    <col min="1" max="1" width="9.28125" style="0" customWidth="1"/>
    <col min="2" max="2" width="16.140625" style="0" customWidth="1"/>
    <col min="3" max="3" width="20.7109375" style="0" customWidth="1"/>
    <col min="4" max="4" width="28.28125" style="0" customWidth="1"/>
    <col min="5" max="5" width="27.7109375" style="0" customWidth="1"/>
    <col min="6" max="6" width="28.28125" style="0" customWidth="1"/>
    <col min="7" max="7" width="24.7109375" style="0" hidden="1" customWidth="1"/>
    <col min="8" max="8" width="24.8515625" style="0" customWidth="1"/>
    <col min="9" max="9" width="24.140625" style="0" customWidth="1"/>
  </cols>
  <sheetData>
    <row r="1" spans="1:3" ht="17.25">
      <c r="A1" s="219" t="s">
        <v>18</v>
      </c>
      <c r="B1" s="220"/>
      <c r="C1" s="220"/>
    </row>
    <row r="2" ht="17.25">
      <c r="A2" s="38"/>
    </row>
    <row r="3" spans="1:2" ht="15">
      <c r="A3" s="5" t="s">
        <v>7</v>
      </c>
      <c r="B3" s="6">
        <v>10</v>
      </c>
    </row>
    <row r="4" spans="1:2" ht="15.75" thickBot="1">
      <c r="A4" s="5" t="s">
        <v>8</v>
      </c>
      <c r="B4" s="7">
        <v>0.1</v>
      </c>
    </row>
    <row r="5" spans="1:9" ht="64.5" customHeight="1" thickBot="1">
      <c r="A5" s="8" t="s">
        <v>9</v>
      </c>
      <c r="B5" s="9" t="s">
        <v>10</v>
      </c>
      <c r="C5" s="10" t="s">
        <v>11</v>
      </c>
      <c r="D5" s="8" t="s">
        <v>4</v>
      </c>
      <c r="E5" s="11" t="s">
        <v>13</v>
      </c>
      <c r="F5" s="8" t="s">
        <v>16</v>
      </c>
      <c r="G5" s="8" t="s">
        <v>14</v>
      </c>
      <c r="H5" s="11" t="str">
        <f>CONCATENATE("Nutidsværdien ved den interne rente (IRR) ",(ROUND(F59,4)*100)," %")</f>
        <v>Nutidsværdien ved den interne rente (IRR) 8,21 %</v>
      </c>
      <c r="I5" s="11" t="s">
        <v>12</v>
      </c>
    </row>
    <row r="6" spans="1:9" ht="17.25">
      <c r="A6" s="16">
        <v>0</v>
      </c>
      <c r="B6" s="34">
        <v>0</v>
      </c>
      <c r="C6" s="14">
        <v>3000000</v>
      </c>
      <c r="D6" s="39">
        <f aca="true" t="shared" si="0" ref="D6:D37">B6-C6</f>
        <v>-3000000</v>
      </c>
      <c r="E6" s="44">
        <f aca="true" t="shared" si="1" ref="E6:E37">IF(A6&lt;=$B$3,POWER((1+$B$4),(A6*-1)),"-")</f>
        <v>1</v>
      </c>
      <c r="F6" s="15">
        <f>D6</f>
        <v>-3000000</v>
      </c>
      <c r="G6" s="44">
        <f>IF(A6&lt;=$B$3,POWER((1+$F$59),(A6*-1)),"-")</f>
        <v>1</v>
      </c>
      <c r="H6" s="15">
        <f>F6</f>
        <v>-3000000</v>
      </c>
      <c r="I6" s="16"/>
    </row>
    <row r="7" spans="1:9" ht="17.25">
      <c r="A7" s="12">
        <f aca="true" t="shared" si="2" ref="A7:A38">A6+1</f>
        <v>1</v>
      </c>
      <c r="B7" s="13">
        <v>400000</v>
      </c>
      <c r="C7" s="17">
        <v>0</v>
      </c>
      <c r="D7" s="40">
        <f t="shared" si="0"/>
        <v>400000</v>
      </c>
      <c r="E7" s="42">
        <f t="shared" si="1"/>
        <v>0.9090909090909091</v>
      </c>
      <c r="F7" s="18">
        <f aca="true" t="shared" si="3" ref="F7:F38">PV($B$4,A7,0,D7)*-1</f>
        <v>363636.3636363636</v>
      </c>
      <c r="G7" s="42">
        <f>IF(A7&lt;=$B$3,POWER((1+$F$59),(A7*-1)),"-")</f>
        <v>0.9241569867790356</v>
      </c>
      <c r="H7" s="18">
        <f aca="true" t="shared" si="4" ref="H7:H38">PV($F$59,A7,0,D7)*-1</f>
        <v>369662.79471161426</v>
      </c>
      <c r="I7" s="18">
        <f>PMT($B$4,$B$3,$F$57)*-1</f>
        <v>-41177.13848565128</v>
      </c>
    </row>
    <row r="8" spans="1:9" ht="17.25">
      <c r="A8" s="12">
        <f t="shared" si="2"/>
        <v>2</v>
      </c>
      <c r="B8" s="13">
        <v>400000</v>
      </c>
      <c r="C8" s="17">
        <v>0</v>
      </c>
      <c r="D8" s="40">
        <f t="shared" si="0"/>
        <v>400000</v>
      </c>
      <c r="E8" s="42">
        <f t="shared" si="1"/>
        <v>0.8264462809917354</v>
      </c>
      <c r="F8" s="18">
        <f t="shared" si="3"/>
        <v>330578.51239669416</v>
      </c>
      <c r="G8" s="42">
        <f aca="true" t="shared" si="5" ref="G8:G56">IF(A8&lt;=$B$3,POWER((1+$F$59),(A8*-1)),"-")</f>
        <v>0.8540661362125067</v>
      </c>
      <c r="H8" s="18">
        <f t="shared" si="4"/>
        <v>341626.4544850027</v>
      </c>
      <c r="I8" s="18">
        <f aca="true" t="shared" si="6" ref="I8:I13">IF(A8&lt;=$B$3,$I$7,0)</f>
        <v>-41177.13848565128</v>
      </c>
    </row>
    <row r="9" spans="1:9" ht="17.25">
      <c r="A9" s="12">
        <f t="shared" si="2"/>
        <v>3</v>
      </c>
      <c r="B9" s="13">
        <v>400000</v>
      </c>
      <c r="C9" s="17">
        <v>0</v>
      </c>
      <c r="D9" s="40">
        <f t="shared" si="0"/>
        <v>400000</v>
      </c>
      <c r="E9" s="42">
        <f t="shared" si="1"/>
        <v>0.7513148009015775</v>
      </c>
      <c r="F9" s="18">
        <f t="shared" si="3"/>
        <v>300525.920360631</v>
      </c>
      <c r="G9" s="42">
        <f t="shared" si="5"/>
        <v>0.7892911869521635</v>
      </c>
      <c r="H9" s="18">
        <f t="shared" si="4"/>
        <v>315716.4747808654</v>
      </c>
      <c r="I9" s="18">
        <f t="shared" si="6"/>
        <v>-41177.13848565128</v>
      </c>
    </row>
    <row r="10" spans="1:9" ht="17.25">
      <c r="A10" s="12">
        <f t="shared" si="2"/>
        <v>4</v>
      </c>
      <c r="B10" s="13">
        <v>400000</v>
      </c>
      <c r="C10" s="17">
        <v>0</v>
      </c>
      <c r="D10" s="40">
        <f t="shared" si="0"/>
        <v>400000</v>
      </c>
      <c r="E10" s="42">
        <f t="shared" si="1"/>
        <v>0.6830134553650705</v>
      </c>
      <c r="F10" s="18">
        <f t="shared" si="3"/>
        <v>273205.3821460282</v>
      </c>
      <c r="G10" s="42">
        <f t="shared" si="5"/>
        <v>0.72942896502496</v>
      </c>
      <c r="H10" s="18">
        <f t="shared" si="4"/>
        <v>291771.586009984</v>
      </c>
      <c r="I10" s="18">
        <f t="shared" si="6"/>
        <v>-41177.13848565128</v>
      </c>
    </row>
    <row r="11" spans="1:9" ht="17.25">
      <c r="A11" s="12">
        <f t="shared" si="2"/>
        <v>5</v>
      </c>
      <c r="B11" s="13">
        <v>400000</v>
      </c>
      <c r="C11" s="17">
        <v>0</v>
      </c>
      <c r="D11" s="40">
        <f>(B11-C11)</f>
        <v>400000</v>
      </c>
      <c r="E11" s="42">
        <f t="shared" si="1"/>
        <v>0.6209213230591549</v>
      </c>
      <c r="F11" s="18">
        <f t="shared" si="3"/>
        <v>248368.529223662</v>
      </c>
      <c r="G11" s="42">
        <f t="shared" si="5"/>
        <v>0.6741068743868176</v>
      </c>
      <c r="H11" s="18">
        <f t="shared" si="4"/>
        <v>269642.749754727</v>
      </c>
      <c r="I11" s="18">
        <f t="shared" si="6"/>
        <v>-41177.13848565128</v>
      </c>
    </row>
    <row r="12" spans="1:9" ht="17.25">
      <c r="A12" s="12">
        <f t="shared" si="2"/>
        <v>6</v>
      </c>
      <c r="B12" s="13">
        <v>400000</v>
      </c>
      <c r="C12" s="17">
        <v>0</v>
      </c>
      <c r="D12" s="40">
        <f t="shared" si="0"/>
        <v>400000</v>
      </c>
      <c r="E12" s="42">
        <f t="shared" si="1"/>
        <v>0.5644739300537772</v>
      </c>
      <c r="F12" s="18">
        <f t="shared" si="3"/>
        <v>225789.57202151086</v>
      </c>
      <c r="G12" s="42">
        <f t="shared" si="5"/>
        <v>0.6229805778003552</v>
      </c>
      <c r="H12" s="18">
        <f t="shared" si="4"/>
        <v>249192.2311201421</v>
      </c>
      <c r="I12" s="18">
        <f t="shared" si="6"/>
        <v>-41177.13848565128</v>
      </c>
    </row>
    <row r="13" spans="1:9" ht="17.25">
      <c r="A13" s="12">
        <f t="shared" si="2"/>
        <v>7</v>
      </c>
      <c r="B13" s="13">
        <v>400000</v>
      </c>
      <c r="C13" s="17">
        <v>0</v>
      </c>
      <c r="D13" s="40">
        <f t="shared" si="0"/>
        <v>400000</v>
      </c>
      <c r="E13" s="42">
        <f t="shared" si="1"/>
        <v>0.5131581182307065</v>
      </c>
      <c r="F13" s="18">
        <f t="shared" si="3"/>
        <v>205263.24729228258</v>
      </c>
      <c r="G13" s="42">
        <f t="shared" si="5"/>
        <v>0.5757318536018389</v>
      </c>
      <c r="H13" s="18">
        <f t="shared" si="4"/>
        <v>230292.74144073555</v>
      </c>
      <c r="I13" s="18">
        <f t="shared" si="6"/>
        <v>-41177.13848565128</v>
      </c>
    </row>
    <row r="14" spans="1:11" ht="17.25">
      <c r="A14" s="12">
        <f t="shared" si="2"/>
        <v>8</v>
      </c>
      <c r="B14" s="13">
        <v>400000</v>
      </c>
      <c r="C14" s="17">
        <v>0</v>
      </c>
      <c r="D14" s="40">
        <f t="shared" si="0"/>
        <v>400000</v>
      </c>
      <c r="E14" s="42">
        <f t="shared" si="1"/>
        <v>0.46650738020973315</v>
      </c>
      <c r="F14" s="18">
        <f t="shared" si="3"/>
        <v>186602.95208389327</v>
      </c>
      <c r="G14" s="42">
        <f t="shared" si="5"/>
        <v>0.5320666150173843</v>
      </c>
      <c r="H14" s="18">
        <f t="shared" si="4"/>
        <v>212826.64600695373</v>
      </c>
      <c r="I14" s="18">
        <f aca="true" t="shared" si="7" ref="I14:I19">IF(A13&lt;=$B$3,$I$7,0)</f>
        <v>-41177.13848565128</v>
      </c>
      <c r="K14" s="3"/>
    </row>
    <row r="15" spans="1:9" ht="17.25">
      <c r="A15" s="12">
        <f t="shared" si="2"/>
        <v>9</v>
      </c>
      <c r="B15" s="13">
        <v>400000</v>
      </c>
      <c r="C15" s="17">
        <v>0</v>
      </c>
      <c r="D15" s="40">
        <f t="shared" si="0"/>
        <v>400000</v>
      </c>
      <c r="E15" s="42">
        <f t="shared" si="1"/>
        <v>0.42409761837248466</v>
      </c>
      <c r="F15" s="18">
        <f t="shared" si="3"/>
        <v>169639.04734899386</v>
      </c>
      <c r="G15" s="42">
        <f t="shared" si="5"/>
        <v>0.49171307970018713</v>
      </c>
      <c r="H15" s="18">
        <f t="shared" si="4"/>
        <v>196685.23188007483</v>
      </c>
      <c r="I15" s="18">
        <f t="shared" si="7"/>
        <v>-41177.13848565128</v>
      </c>
    </row>
    <row r="16" spans="1:9" ht="18" thickBot="1">
      <c r="A16" s="12">
        <f t="shared" si="2"/>
        <v>10</v>
      </c>
      <c r="B16" s="13">
        <f>750000+400000</f>
        <v>1150000</v>
      </c>
      <c r="C16" s="17">
        <v>0</v>
      </c>
      <c r="D16" s="40">
        <f t="shared" si="0"/>
        <v>1150000</v>
      </c>
      <c r="E16" s="42">
        <f t="shared" si="1"/>
        <v>0.3855432894295315</v>
      </c>
      <c r="F16" s="18">
        <f t="shared" si="3"/>
        <v>443374.7828439612</v>
      </c>
      <c r="G16" s="42">
        <f t="shared" si="5"/>
        <v>0.4544200780955647</v>
      </c>
      <c r="H16" s="18">
        <f t="shared" si="4"/>
        <v>522583.0898098994</v>
      </c>
      <c r="I16" s="22">
        <f t="shared" si="7"/>
        <v>-41177.13848565128</v>
      </c>
    </row>
    <row r="17" spans="1:9" ht="17.25" hidden="1">
      <c r="A17" s="12">
        <f t="shared" si="2"/>
        <v>11</v>
      </c>
      <c r="B17" s="13">
        <v>0</v>
      </c>
      <c r="C17" s="17">
        <v>0</v>
      </c>
      <c r="D17" s="40">
        <f t="shared" si="0"/>
        <v>0</v>
      </c>
      <c r="E17" s="42" t="str">
        <f t="shared" si="1"/>
        <v>-</v>
      </c>
      <c r="F17" s="18">
        <f t="shared" si="3"/>
        <v>0</v>
      </c>
      <c r="G17" s="42" t="str">
        <f t="shared" si="5"/>
        <v>-</v>
      </c>
      <c r="H17" s="18">
        <f t="shared" si="4"/>
        <v>0</v>
      </c>
      <c r="I17" s="18">
        <f t="shared" si="7"/>
        <v>-41177.13848565128</v>
      </c>
    </row>
    <row r="18" spans="1:9" ht="17.25" hidden="1">
      <c r="A18" s="12">
        <f t="shared" si="2"/>
        <v>12</v>
      </c>
      <c r="B18" s="13">
        <v>0</v>
      </c>
      <c r="C18" s="17">
        <v>0</v>
      </c>
      <c r="D18" s="40">
        <f t="shared" si="0"/>
        <v>0</v>
      </c>
      <c r="E18" s="42" t="str">
        <f t="shared" si="1"/>
        <v>-</v>
      </c>
      <c r="F18" s="18">
        <f t="shared" si="3"/>
        <v>0</v>
      </c>
      <c r="G18" s="42" t="str">
        <f t="shared" si="5"/>
        <v>-</v>
      </c>
      <c r="H18" s="18">
        <f t="shared" si="4"/>
        <v>0</v>
      </c>
      <c r="I18" s="18">
        <f t="shared" si="7"/>
        <v>0</v>
      </c>
    </row>
    <row r="19" spans="1:11" ht="17.25" hidden="1">
      <c r="A19" s="12">
        <f t="shared" si="2"/>
        <v>13</v>
      </c>
      <c r="B19" s="13">
        <v>0</v>
      </c>
      <c r="C19" s="17">
        <v>0</v>
      </c>
      <c r="D19" s="40">
        <f t="shared" si="0"/>
        <v>0</v>
      </c>
      <c r="E19" s="42" t="str">
        <f t="shared" si="1"/>
        <v>-</v>
      </c>
      <c r="F19" s="18">
        <f t="shared" si="3"/>
        <v>0</v>
      </c>
      <c r="G19" s="42" t="str">
        <f t="shared" si="5"/>
        <v>-</v>
      </c>
      <c r="H19" s="18">
        <f t="shared" si="4"/>
        <v>0</v>
      </c>
      <c r="I19" s="18">
        <f t="shared" si="7"/>
        <v>0</v>
      </c>
      <c r="K19" s="3"/>
    </row>
    <row r="20" spans="1:9" ht="17.25" hidden="1">
      <c r="A20" s="12">
        <f t="shared" si="2"/>
        <v>14</v>
      </c>
      <c r="B20" s="13">
        <v>0</v>
      </c>
      <c r="C20" s="17">
        <v>0</v>
      </c>
      <c r="D20" s="40">
        <f t="shared" si="0"/>
        <v>0</v>
      </c>
      <c r="E20" s="42" t="str">
        <f t="shared" si="1"/>
        <v>-</v>
      </c>
      <c r="F20" s="18">
        <f t="shared" si="3"/>
        <v>0</v>
      </c>
      <c r="G20" s="42" t="str">
        <f t="shared" si="5"/>
        <v>-</v>
      </c>
      <c r="H20" s="18">
        <f t="shared" si="4"/>
        <v>0</v>
      </c>
      <c r="I20" s="18">
        <f aca="true" t="shared" si="8" ref="I20:I56">IF(A19&lt;=$B$3,$I$7,0)</f>
        <v>0</v>
      </c>
    </row>
    <row r="21" spans="1:9" ht="18" hidden="1" thickBot="1">
      <c r="A21" s="19">
        <f t="shared" si="2"/>
        <v>15</v>
      </c>
      <c r="B21" s="20">
        <v>0</v>
      </c>
      <c r="C21" s="21">
        <v>0</v>
      </c>
      <c r="D21" s="41">
        <f t="shared" si="0"/>
        <v>0</v>
      </c>
      <c r="E21" s="45" t="str">
        <f t="shared" si="1"/>
        <v>-</v>
      </c>
      <c r="F21" s="22">
        <f t="shared" si="3"/>
        <v>0</v>
      </c>
      <c r="G21" s="45" t="str">
        <f t="shared" si="5"/>
        <v>-</v>
      </c>
      <c r="H21" s="22">
        <f t="shared" si="4"/>
        <v>0</v>
      </c>
      <c r="I21" s="22">
        <f t="shared" si="8"/>
        <v>0</v>
      </c>
    </row>
    <row r="22" spans="1:9" ht="17.25" hidden="1">
      <c r="A22" s="12">
        <f t="shared" si="2"/>
        <v>16</v>
      </c>
      <c r="B22" s="13">
        <v>0</v>
      </c>
      <c r="C22" s="17">
        <v>0</v>
      </c>
      <c r="D22" s="40">
        <f t="shared" si="0"/>
        <v>0</v>
      </c>
      <c r="E22" s="42" t="str">
        <f t="shared" si="1"/>
        <v>-</v>
      </c>
      <c r="F22" s="18">
        <f t="shared" si="3"/>
        <v>0</v>
      </c>
      <c r="G22" s="42" t="str">
        <f t="shared" si="5"/>
        <v>-</v>
      </c>
      <c r="H22" s="18">
        <f t="shared" si="4"/>
        <v>0</v>
      </c>
      <c r="I22" s="18">
        <f t="shared" si="8"/>
        <v>0</v>
      </c>
    </row>
    <row r="23" spans="1:9" ht="17.25" hidden="1">
      <c r="A23" s="12">
        <f t="shared" si="2"/>
        <v>17</v>
      </c>
      <c r="B23" s="13">
        <v>0</v>
      </c>
      <c r="C23" s="17">
        <v>0</v>
      </c>
      <c r="D23" s="40">
        <f t="shared" si="0"/>
        <v>0</v>
      </c>
      <c r="E23" s="42" t="str">
        <f t="shared" si="1"/>
        <v>-</v>
      </c>
      <c r="F23" s="18">
        <f t="shared" si="3"/>
        <v>0</v>
      </c>
      <c r="G23" s="42" t="str">
        <f t="shared" si="5"/>
        <v>-</v>
      </c>
      <c r="H23" s="18">
        <f t="shared" si="4"/>
        <v>0</v>
      </c>
      <c r="I23" s="18">
        <f t="shared" si="8"/>
        <v>0</v>
      </c>
    </row>
    <row r="24" spans="1:9" ht="17.25" hidden="1">
      <c r="A24" s="12">
        <f t="shared" si="2"/>
        <v>18</v>
      </c>
      <c r="B24" s="13">
        <v>0</v>
      </c>
      <c r="C24" s="17">
        <v>0</v>
      </c>
      <c r="D24" s="40">
        <f t="shared" si="0"/>
        <v>0</v>
      </c>
      <c r="E24" s="42" t="str">
        <f t="shared" si="1"/>
        <v>-</v>
      </c>
      <c r="F24" s="18">
        <f t="shared" si="3"/>
        <v>0</v>
      </c>
      <c r="G24" s="42" t="str">
        <f t="shared" si="5"/>
        <v>-</v>
      </c>
      <c r="H24" s="18">
        <f t="shared" si="4"/>
        <v>0</v>
      </c>
      <c r="I24" s="18">
        <f t="shared" si="8"/>
        <v>0</v>
      </c>
    </row>
    <row r="25" spans="1:9" ht="17.25" hidden="1">
      <c r="A25" s="12">
        <f t="shared" si="2"/>
        <v>19</v>
      </c>
      <c r="B25" s="13">
        <v>0</v>
      </c>
      <c r="C25" s="17">
        <v>0</v>
      </c>
      <c r="D25" s="40">
        <f t="shared" si="0"/>
        <v>0</v>
      </c>
      <c r="E25" s="42" t="str">
        <f t="shared" si="1"/>
        <v>-</v>
      </c>
      <c r="F25" s="18">
        <f t="shared" si="3"/>
        <v>0</v>
      </c>
      <c r="G25" s="42" t="str">
        <f t="shared" si="5"/>
        <v>-</v>
      </c>
      <c r="H25" s="18">
        <f t="shared" si="4"/>
        <v>0</v>
      </c>
      <c r="I25" s="18">
        <f t="shared" si="8"/>
        <v>0</v>
      </c>
    </row>
    <row r="26" spans="1:9" ht="17.25" hidden="1">
      <c r="A26" s="12">
        <f t="shared" si="2"/>
        <v>20</v>
      </c>
      <c r="B26" s="13">
        <v>0</v>
      </c>
      <c r="C26" s="17">
        <v>0</v>
      </c>
      <c r="D26" s="40">
        <f t="shared" si="0"/>
        <v>0</v>
      </c>
      <c r="E26" s="42" t="str">
        <f t="shared" si="1"/>
        <v>-</v>
      </c>
      <c r="F26" s="18">
        <f t="shared" si="3"/>
        <v>0</v>
      </c>
      <c r="G26" s="42" t="str">
        <f t="shared" si="5"/>
        <v>-</v>
      </c>
      <c r="H26" s="18">
        <f t="shared" si="4"/>
        <v>0</v>
      </c>
      <c r="I26" s="18">
        <f t="shared" si="8"/>
        <v>0</v>
      </c>
    </row>
    <row r="27" spans="1:9" ht="17.25" hidden="1">
      <c r="A27" s="12">
        <f t="shared" si="2"/>
        <v>21</v>
      </c>
      <c r="B27" s="13">
        <v>0</v>
      </c>
      <c r="C27" s="17">
        <v>0</v>
      </c>
      <c r="D27" s="40">
        <f t="shared" si="0"/>
        <v>0</v>
      </c>
      <c r="E27" s="42" t="str">
        <f t="shared" si="1"/>
        <v>-</v>
      </c>
      <c r="F27" s="18">
        <f t="shared" si="3"/>
        <v>0</v>
      </c>
      <c r="G27" s="42" t="str">
        <f t="shared" si="5"/>
        <v>-</v>
      </c>
      <c r="H27" s="18">
        <f t="shared" si="4"/>
        <v>0</v>
      </c>
      <c r="I27" s="18">
        <f t="shared" si="8"/>
        <v>0</v>
      </c>
    </row>
    <row r="28" spans="1:9" ht="17.25" hidden="1">
      <c r="A28" s="12">
        <f t="shared" si="2"/>
        <v>22</v>
      </c>
      <c r="B28" s="13">
        <v>0</v>
      </c>
      <c r="C28" s="17">
        <v>0</v>
      </c>
      <c r="D28" s="40">
        <f t="shared" si="0"/>
        <v>0</v>
      </c>
      <c r="E28" s="42" t="str">
        <f t="shared" si="1"/>
        <v>-</v>
      </c>
      <c r="F28" s="18">
        <f t="shared" si="3"/>
        <v>0</v>
      </c>
      <c r="G28" s="42" t="str">
        <f t="shared" si="5"/>
        <v>-</v>
      </c>
      <c r="H28" s="18">
        <f t="shared" si="4"/>
        <v>0</v>
      </c>
      <c r="I28" s="18">
        <f t="shared" si="8"/>
        <v>0</v>
      </c>
    </row>
    <row r="29" spans="1:9" ht="17.25" hidden="1">
      <c r="A29" s="12">
        <f t="shared" si="2"/>
        <v>23</v>
      </c>
      <c r="B29" s="13">
        <v>0</v>
      </c>
      <c r="C29" s="17">
        <v>0</v>
      </c>
      <c r="D29" s="40">
        <f t="shared" si="0"/>
        <v>0</v>
      </c>
      <c r="E29" s="42" t="str">
        <f t="shared" si="1"/>
        <v>-</v>
      </c>
      <c r="F29" s="18">
        <f t="shared" si="3"/>
        <v>0</v>
      </c>
      <c r="G29" s="42" t="str">
        <f t="shared" si="5"/>
        <v>-</v>
      </c>
      <c r="H29" s="18">
        <f t="shared" si="4"/>
        <v>0</v>
      </c>
      <c r="I29" s="18">
        <f t="shared" si="8"/>
        <v>0</v>
      </c>
    </row>
    <row r="30" spans="1:9" ht="17.25" hidden="1">
      <c r="A30" s="12">
        <f t="shared" si="2"/>
        <v>24</v>
      </c>
      <c r="B30" s="13">
        <v>0</v>
      </c>
      <c r="C30" s="17">
        <v>0</v>
      </c>
      <c r="D30" s="40">
        <f t="shared" si="0"/>
        <v>0</v>
      </c>
      <c r="E30" s="42" t="str">
        <f t="shared" si="1"/>
        <v>-</v>
      </c>
      <c r="F30" s="18">
        <f t="shared" si="3"/>
        <v>0</v>
      </c>
      <c r="G30" s="42" t="str">
        <f t="shared" si="5"/>
        <v>-</v>
      </c>
      <c r="H30" s="18">
        <f t="shared" si="4"/>
        <v>0</v>
      </c>
      <c r="I30" s="18">
        <f t="shared" si="8"/>
        <v>0</v>
      </c>
    </row>
    <row r="31" spans="1:9" ht="17.25" hidden="1">
      <c r="A31" s="12">
        <f t="shared" si="2"/>
        <v>25</v>
      </c>
      <c r="B31" s="13">
        <v>0</v>
      </c>
      <c r="C31" s="17">
        <v>0</v>
      </c>
      <c r="D31" s="40">
        <f t="shared" si="0"/>
        <v>0</v>
      </c>
      <c r="E31" s="42" t="str">
        <f t="shared" si="1"/>
        <v>-</v>
      </c>
      <c r="F31" s="18">
        <f t="shared" si="3"/>
        <v>0</v>
      </c>
      <c r="G31" s="42" t="str">
        <f t="shared" si="5"/>
        <v>-</v>
      </c>
      <c r="H31" s="18">
        <f t="shared" si="4"/>
        <v>0</v>
      </c>
      <c r="I31" s="18">
        <f t="shared" si="8"/>
        <v>0</v>
      </c>
    </row>
    <row r="32" spans="1:9" ht="17.25" hidden="1">
      <c r="A32" s="12">
        <f t="shared" si="2"/>
        <v>26</v>
      </c>
      <c r="B32" s="13">
        <v>0</v>
      </c>
      <c r="C32" s="17">
        <v>0</v>
      </c>
      <c r="D32" s="40">
        <f t="shared" si="0"/>
        <v>0</v>
      </c>
      <c r="E32" s="42" t="str">
        <f t="shared" si="1"/>
        <v>-</v>
      </c>
      <c r="F32" s="18">
        <f t="shared" si="3"/>
        <v>0</v>
      </c>
      <c r="G32" s="42" t="str">
        <f t="shared" si="5"/>
        <v>-</v>
      </c>
      <c r="H32" s="18">
        <f t="shared" si="4"/>
        <v>0</v>
      </c>
      <c r="I32" s="18">
        <f t="shared" si="8"/>
        <v>0</v>
      </c>
    </row>
    <row r="33" spans="1:9" ht="17.25" hidden="1">
      <c r="A33" s="12">
        <f t="shared" si="2"/>
        <v>27</v>
      </c>
      <c r="B33" s="13">
        <v>0</v>
      </c>
      <c r="C33" s="17">
        <v>0</v>
      </c>
      <c r="D33" s="40">
        <f t="shared" si="0"/>
        <v>0</v>
      </c>
      <c r="E33" s="42" t="str">
        <f t="shared" si="1"/>
        <v>-</v>
      </c>
      <c r="F33" s="18">
        <f t="shared" si="3"/>
        <v>0</v>
      </c>
      <c r="G33" s="42" t="str">
        <f t="shared" si="5"/>
        <v>-</v>
      </c>
      <c r="H33" s="18">
        <f t="shared" si="4"/>
        <v>0</v>
      </c>
      <c r="I33" s="18">
        <f t="shared" si="8"/>
        <v>0</v>
      </c>
    </row>
    <row r="34" spans="1:9" ht="17.25" hidden="1">
      <c r="A34" s="12">
        <f t="shared" si="2"/>
        <v>28</v>
      </c>
      <c r="B34" s="13">
        <v>0</v>
      </c>
      <c r="C34" s="17">
        <v>0</v>
      </c>
      <c r="D34" s="40">
        <f t="shared" si="0"/>
        <v>0</v>
      </c>
      <c r="E34" s="42" t="str">
        <f t="shared" si="1"/>
        <v>-</v>
      </c>
      <c r="F34" s="18">
        <f t="shared" si="3"/>
        <v>0</v>
      </c>
      <c r="G34" s="42" t="str">
        <f t="shared" si="5"/>
        <v>-</v>
      </c>
      <c r="H34" s="18">
        <f t="shared" si="4"/>
        <v>0</v>
      </c>
      <c r="I34" s="18">
        <f t="shared" si="8"/>
        <v>0</v>
      </c>
    </row>
    <row r="35" spans="1:9" ht="17.25" hidden="1">
      <c r="A35" s="12">
        <f t="shared" si="2"/>
        <v>29</v>
      </c>
      <c r="B35" s="13">
        <v>0</v>
      </c>
      <c r="C35" s="17">
        <v>0</v>
      </c>
      <c r="D35" s="40">
        <f t="shared" si="0"/>
        <v>0</v>
      </c>
      <c r="E35" s="42" t="str">
        <f t="shared" si="1"/>
        <v>-</v>
      </c>
      <c r="F35" s="18">
        <f t="shared" si="3"/>
        <v>0</v>
      </c>
      <c r="G35" s="42" t="str">
        <f t="shared" si="5"/>
        <v>-</v>
      </c>
      <c r="H35" s="18">
        <f t="shared" si="4"/>
        <v>0</v>
      </c>
      <c r="I35" s="18">
        <f t="shared" si="8"/>
        <v>0</v>
      </c>
    </row>
    <row r="36" spans="1:9" ht="17.25" hidden="1">
      <c r="A36" s="12">
        <f t="shared" si="2"/>
        <v>30</v>
      </c>
      <c r="B36" s="13">
        <v>0</v>
      </c>
      <c r="C36" s="17">
        <v>0</v>
      </c>
      <c r="D36" s="40">
        <f t="shared" si="0"/>
        <v>0</v>
      </c>
      <c r="E36" s="42" t="str">
        <f t="shared" si="1"/>
        <v>-</v>
      </c>
      <c r="F36" s="18">
        <f t="shared" si="3"/>
        <v>0</v>
      </c>
      <c r="G36" s="42" t="str">
        <f t="shared" si="5"/>
        <v>-</v>
      </c>
      <c r="H36" s="18">
        <f t="shared" si="4"/>
        <v>0</v>
      </c>
      <c r="I36" s="18">
        <f t="shared" si="8"/>
        <v>0</v>
      </c>
    </row>
    <row r="37" spans="1:9" ht="17.25" hidden="1">
      <c r="A37" s="12">
        <f t="shared" si="2"/>
        <v>31</v>
      </c>
      <c r="B37" s="13">
        <v>0</v>
      </c>
      <c r="C37" s="17">
        <v>0</v>
      </c>
      <c r="D37" s="40">
        <f t="shared" si="0"/>
        <v>0</v>
      </c>
      <c r="E37" s="42" t="str">
        <f t="shared" si="1"/>
        <v>-</v>
      </c>
      <c r="F37" s="18">
        <f t="shared" si="3"/>
        <v>0</v>
      </c>
      <c r="G37" s="42" t="str">
        <f t="shared" si="5"/>
        <v>-</v>
      </c>
      <c r="H37" s="18">
        <f t="shared" si="4"/>
        <v>0</v>
      </c>
      <c r="I37" s="18">
        <f t="shared" si="8"/>
        <v>0</v>
      </c>
    </row>
    <row r="38" spans="1:9" ht="17.25" hidden="1">
      <c r="A38" s="12">
        <f t="shared" si="2"/>
        <v>32</v>
      </c>
      <c r="B38" s="13">
        <v>0</v>
      </c>
      <c r="C38" s="17">
        <v>0</v>
      </c>
      <c r="D38" s="40">
        <f aca="true" t="shared" si="9" ref="D38:D56">B38-C38</f>
        <v>0</v>
      </c>
      <c r="E38" s="42" t="str">
        <f aca="true" t="shared" si="10" ref="E38:E56">IF(A38&lt;=$B$3,POWER((1+$B$4),(A38*-1)),"-")</f>
        <v>-</v>
      </c>
      <c r="F38" s="18">
        <f t="shared" si="3"/>
        <v>0</v>
      </c>
      <c r="G38" s="42" t="str">
        <f t="shared" si="5"/>
        <v>-</v>
      </c>
      <c r="H38" s="18">
        <f t="shared" si="4"/>
        <v>0</v>
      </c>
      <c r="I38" s="18">
        <f t="shared" si="8"/>
        <v>0</v>
      </c>
    </row>
    <row r="39" spans="1:9" ht="17.25" hidden="1">
      <c r="A39" s="12">
        <f aca="true" t="shared" si="11" ref="A39:A56">A38+1</f>
        <v>33</v>
      </c>
      <c r="B39" s="13">
        <v>0</v>
      </c>
      <c r="C39" s="17">
        <v>0</v>
      </c>
      <c r="D39" s="40">
        <f t="shared" si="9"/>
        <v>0</v>
      </c>
      <c r="E39" s="42" t="str">
        <f t="shared" si="10"/>
        <v>-</v>
      </c>
      <c r="F39" s="18">
        <f aca="true" t="shared" si="12" ref="F39:F56">PV($B$4,A39,0,D39)*-1</f>
        <v>0</v>
      </c>
      <c r="G39" s="42" t="str">
        <f t="shared" si="5"/>
        <v>-</v>
      </c>
      <c r="H39" s="18">
        <f aca="true" t="shared" si="13" ref="H39:H56">PV($F$59,A39,0,D39)*-1</f>
        <v>0</v>
      </c>
      <c r="I39" s="18">
        <f t="shared" si="8"/>
        <v>0</v>
      </c>
    </row>
    <row r="40" spans="1:9" ht="17.25" hidden="1">
      <c r="A40" s="12">
        <f t="shared" si="11"/>
        <v>34</v>
      </c>
      <c r="B40" s="13">
        <v>0</v>
      </c>
      <c r="C40" s="17">
        <v>0</v>
      </c>
      <c r="D40" s="40">
        <f t="shared" si="9"/>
        <v>0</v>
      </c>
      <c r="E40" s="42" t="str">
        <f t="shared" si="10"/>
        <v>-</v>
      </c>
      <c r="F40" s="18">
        <f t="shared" si="12"/>
        <v>0</v>
      </c>
      <c r="G40" s="42" t="str">
        <f t="shared" si="5"/>
        <v>-</v>
      </c>
      <c r="H40" s="18">
        <f t="shared" si="13"/>
        <v>0</v>
      </c>
      <c r="I40" s="18">
        <f t="shared" si="8"/>
        <v>0</v>
      </c>
    </row>
    <row r="41" spans="1:9" ht="17.25" hidden="1">
      <c r="A41" s="12">
        <f t="shared" si="11"/>
        <v>35</v>
      </c>
      <c r="B41" s="13">
        <v>0</v>
      </c>
      <c r="C41" s="17">
        <v>0</v>
      </c>
      <c r="D41" s="40">
        <f t="shared" si="9"/>
        <v>0</v>
      </c>
      <c r="E41" s="42" t="str">
        <f t="shared" si="10"/>
        <v>-</v>
      </c>
      <c r="F41" s="18">
        <f t="shared" si="12"/>
        <v>0</v>
      </c>
      <c r="G41" s="42" t="str">
        <f t="shared" si="5"/>
        <v>-</v>
      </c>
      <c r="H41" s="18">
        <f t="shared" si="13"/>
        <v>0</v>
      </c>
      <c r="I41" s="18">
        <f t="shared" si="8"/>
        <v>0</v>
      </c>
    </row>
    <row r="42" spans="1:9" ht="17.25" hidden="1">
      <c r="A42" s="12">
        <f t="shared" si="11"/>
        <v>36</v>
      </c>
      <c r="B42" s="13">
        <v>0</v>
      </c>
      <c r="C42" s="17">
        <v>0</v>
      </c>
      <c r="D42" s="40">
        <f t="shared" si="9"/>
        <v>0</v>
      </c>
      <c r="E42" s="42" t="str">
        <f t="shared" si="10"/>
        <v>-</v>
      </c>
      <c r="F42" s="18">
        <f t="shared" si="12"/>
        <v>0</v>
      </c>
      <c r="G42" s="42" t="str">
        <f t="shared" si="5"/>
        <v>-</v>
      </c>
      <c r="H42" s="18">
        <f t="shared" si="13"/>
        <v>0</v>
      </c>
      <c r="I42" s="18">
        <f t="shared" si="8"/>
        <v>0</v>
      </c>
    </row>
    <row r="43" spans="1:9" ht="17.25" hidden="1">
      <c r="A43" s="12">
        <f t="shared" si="11"/>
        <v>37</v>
      </c>
      <c r="B43" s="13">
        <v>0</v>
      </c>
      <c r="C43" s="17">
        <v>0</v>
      </c>
      <c r="D43" s="40">
        <f t="shared" si="9"/>
        <v>0</v>
      </c>
      <c r="E43" s="42" t="str">
        <f t="shared" si="10"/>
        <v>-</v>
      </c>
      <c r="F43" s="18">
        <f t="shared" si="12"/>
        <v>0</v>
      </c>
      <c r="G43" s="42" t="str">
        <f t="shared" si="5"/>
        <v>-</v>
      </c>
      <c r="H43" s="18">
        <f t="shared" si="13"/>
        <v>0</v>
      </c>
      <c r="I43" s="18">
        <f t="shared" si="8"/>
        <v>0</v>
      </c>
    </row>
    <row r="44" spans="1:9" ht="17.25" hidden="1">
      <c r="A44" s="12">
        <f t="shared" si="11"/>
        <v>38</v>
      </c>
      <c r="B44" s="13">
        <v>0</v>
      </c>
      <c r="C44" s="17">
        <v>0</v>
      </c>
      <c r="D44" s="40">
        <f t="shared" si="9"/>
        <v>0</v>
      </c>
      <c r="E44" s="42" t="str">
        <f t="shared" si="10"/>
        <v>-</v>
      </c>
      <c r="F44" s="18">
        <f t="shared" si="12"/>
        <v>0</v>
      </c>
      <c r="G44" s="42" t="str">
        <f t="shared" si="5"/>
        <v>-</v>
      </c>
      <c r="H44" s="18">
        <f t="shared" si="13"/>
        <v>0</v>
      </c>
      <c r="I44" s="18">
        <f t="shared" si="8"/>
        <v>0</v>
      </c>
    </row>
    <row r="45" spans="1:9" ht="17.25" hidden="1">
      <c r="A45" s="12">
        <f t="shared" si="11"/>
        <v>39</v>
      </c>
      <c r="B45" s="13">
        <v>0</v>
      </c>
      <c r="C45" s="17">
        <v>0</v>
      </c>
      <c r="D45" s="40">
        <f t="shared" si="9"/>
        <v>0</v>
      </c>
      <c r="E45" s="42" t="str">
        <f t="shared" si="10"/>
        <v>-</v>
      </c>
      <c r="F45" s="18">
        <f t="shared" si="12"/>
        <v>0</v>
      </c>
      <c r="G45" s="42" t="str">
        <f t="shared" si="5"/>
        <v>-</v>
      </c>
      <c r="H45" s="18">
        <f t="shared" si="13"/>
        <v>0</v>
      </c>
      <c r="I45" s="18">
        <f t="shared" si="8"/>
        <v>0</v>
      </c>
    </row>
    <row r="46" spans="1:9" ht="17.25" hidden="1">
      <c r="A46" s="12">
        <f t="shared" si="11"/>
        <v>40</v>
      </c>
      <c r="B46" s="13">
        <v>0</v>
      </c>
      <c r="C46" s="17">
        <v>0</v>
      </c>
      <c r="D46" s="40">
        <f t="shared" si="9"/>
        <v>0</v>
      </c>
      <c r="E46" s="42" t="str">
        <f t="shared" si="10"/>
        <v>-</v>
      </c>
      <c r="F46" s="18">
        <f t="shared" si="12"/>
        <v>0</v>
      </c>
      <c r="G46" s="42" t="str">
        <f t="shared" si="5"/>
        <v>-</v>
      </c>
      <c r="H46" s="18">
        <f t="shared" si="13"/>
        <v>0</v>
      </c>
      <c r="I46" s="18">
        <f t="shared" si="8"/>
        <v>0</v>
      </c>
    </row>
    <row r="47" spans="1:9" ht="17.25" hidden="1">
      <c r="A47" s="12">
        <f t="shared" si="11"/>
        <v>41</v>
      </c>
      <c r="B47" s="13">
        <v>0</v>
      </c>
      <c r="C47" s="17">
        <v>0</v>
      </c>
      <c r="D47" s="40">
        <f t="shared" si="9"/>
        <v>0</v>
      </c>
      <c r="E47" s="42" t="str">
        <f t="shared" si="10"/>
        <v>-</v>
      </c>
      <c r="F47" s="18">
        <f t="shared" si="12"/>
        <v>0</v>
      </c>
      <c r="G47" s="42" t="str">
        <f t="shared" si="5"/>
        <v>-</v>
      </c>
      <c r="H47" s="18">
        <f t="shared" si="13"/>
        <v>0</v>
      </c>
      <c r="I47" s="18">
        <f t="shared" si="8"/>
        <v>0</v>
      </c>
    </row>
    <row r="48" spans="1:9" ht="17.25" hidden="1">
      <c r="A48" s="12">
        <f t="shared" si="11"/>
        <v>42</v>
      </c>
      <c r="B48" s="13">
        <v>0</v>
      </c>
      <c r="C48" s="17">
        <v>0</v>
      </c>
      <c r="D48" s="40">
        <f t="shared" si="9"/>
        <v>0</v>
      </c>
      <c r="E48" s="42" t="str">
        <f t="shared" si="10"/>
        <v>-</v>
      </c>
      <c r="F48" s="18">
        <f t="shared" si="12"/>
        <v>0</v>
      </c>
      <c r="G48" s="42" t="str">
        <f t="shared" si="5"/>
        <v>-</v>
      </c>
      <c r="H48" s="18">
        <f t="shared" si="13"/>
        <v>0</v>
      </c>
      <c r="I48" s="18">
        <f t="shared" si="8"/>
        <v>0</v>
      </c>
    </row>
    <row r="49" spans="1:9" ht="17.25" hidden="1">
      <c r="A49" s="12">
        <f t="shared" si="11"/>
        <v>43</v>
      </c>
      <c r="B49" s="13">
        <v>0</v>
      </c>
      <c r="C49" s="17">
        <v>0</v>
      </c>
      <c r="D49" s="40">
        <f t="shared" si="9"/>
        <v>0</v>
      </c>
      <c r="E49" s="42" t="str">
        <f t="shared" si="10"/>
        <v>-</v>
      </c>
      <c r="F49" s="18">
        <f t="shared" si="12"/>
        <v>0</v>
      </c>
      <c r="G49" s="42" t="str">
        <f t="shared" si="5"/>
        <v>-</v>
      </c>
      <c r="H49" s="18">
        <f t="shared" si="13"/>
        <v>0</v>
      </c>
      <c r="I49" s="18">
        <f t="shared" si="8"/>
        <v>0</v>
      </c>
    </row>
    <row r="50" spans="1:9" ht="17.25" hidden="1">
      <c r="A50" s="12">
        <f t="shared" si="11"/>
        <v>44</v>
      </c>
      <c r="B50" s="13">
        <v>0</v>
      </c>
      <c r="C50" s="17">
        <v>0</v>
      </c>
      <c r="D50" s="40">
        <f t="shared" si="9"/>
        <v>0</v>
      </c>
      <c r="E50" s="42" t="str">
        <f t="shared" si="10"/>
        <v>-</v>
      </c>
      <c r="F50" s="18">
        <f t="shared" si="12"/>
        <v>0</v>
      </c>
      <c r="G50" s="42" t="str">
        <f t="shared" si="5"/>
        <v>-</v>
      </c>
      <c r="H50" s="18">
        <f t="shared" si="13"/>
        <v>0</v>
      </c>
      <c r="I50" s="18">
        <f t="shared" si="8"/>
        <v>0</v>
      </c>
    </row>
    <row r="51" spans="1:9" ht="17.25" hidden="1">
      <c r="A51" s="12">
        <f t="shared" si="11"/>
        <v>45</v>
      </c>
      <c r="B51" s="13">
        <v>0</v>
      </c>
      <c r="C51" s="17">
        <v>0</v>
      </c>
      <c r="D51" s="40">
        <f t="shared" si="9"/>
        <v>0</v>
      </c>
      <c r="E51" s="42" t="str">
        <f t="shared" si="10"/>
        <v>-</v>
      </c>
      <c r="F51" s="18">
        <f t="shared" si="12"/>
        <v>0</v>
      </c>
      <c r="G51" s="42" t="str">
        <f t="shared" si="5"/>
        <v>-</v>
      </c>
      <c r="H51" s="18">
        <f t="shared" si="13"/>
        <v>0</v>
      </c>
      <c r="I51" s="18">
        <f t="shared" si="8"/>
        <v>0</v>
      </c>
    </row>
    <row r="52" spans="1:9" ht="17.25" hidden="1">
      <c r="A52" s="12">
        <f t="shared" si="11"/>
        <v>46</v>
      </c>
      <c r="B52" s="13">
        <v>0</v>
      </c>
      <c r="C52" s="17">
        <v>0</v>
      </c>
      <c r="D52" s="40">
        <f t="shared" si="9"/>
        <v>0</v>
      </c>
      <c r="E52" s="42" t="str">
        <f t="shared" si="10"/>
        <v>-</v>
      </c>
      <c r="F52" s="18">
        <f t="shared" si="12"/>
        <v>0</v>
      </c>
      <c r="G52" s="42" t="str">
        <f t="shared" si="5"/>
        <v>-</v>
      </c>
      <c r="H52" s="18">
        <f t="shared" si="13"/>
        <v>0</v>
      </c>
      <c r="I52" s="18">
        <f t="shared" si="8"/>
        <v>0</v>
      </c>
    </row>
    <row r="53" spans="1:9" ht="17.25" hidden="1">
      <c r="A53" s="12">
        <f t="shared" si="11"/>
        <v>47</v>
      </c>
      <c r="B53" s="13">
        <v>0</v>
      </c>
      <c r="C53" s="17">
        <v>0</v>
      </c>
      <c r="D53" s="40">
        <f t="shared" si="9"/>
        <v>0</v>
      </c>
      <c r="E53" s="42" t="str">
        <f t="shared" si="10"/>
        <v>-</v>
      </c>
      <c r="F53" s="18">
        <f t="shared" si="12"/>
        <v>0</v>
      </c>
      <c r="G53" s="42" t="str">
        <f t="shared" si="5"/>
        <v>-</v>
      </c>
      <c r="H53" s="18">
        <f t="shared" si="13"/>
        <v>0</v>
      </c>
      <c r="I53" s="18">
        <f t="shared" si="8"/>
        <v>0</v>
      </c>
    </row>
    <row r="54" spans="1:9" ht="17.25" hidden="1">
      <c r="A54" s="12">
        <f t="shared" si="11"/>
        <v>48</v>
      </c>
      <c r="B54" s="13">
        <v>0</v>
      </c>
      <c r="C54" s="17">
        <v>0</v>
      </c>
      <c r="D54" s="40">
        <f t="shared" si="9"/>
        <v>0</v>
      </c>
      <c r="E54" s="42" t="str">
        <f t="shared" si="10"/>
        <v>-</v>
      </c>
      <c r="F54" s="18">
        <f t="shared" si="12"/>
        <v>0</v>
      </c>
      <c r="G54" s="42" t="str">
        <f t="shared" si="5"/>
        <v>-</v>
      </c>
      <c r="H54" s="18">
        <f t="shared" si="13"/>
        <v>0</v>
      </c>
      <c r="I54" s="18">
        <f t="shared" si="8"/>
        <v>0</v>
      </c>
    </row>
    <row r="55" spans="1:9" ht="17.25" hidden="1">
      <c r="A55" s="12">
        <f t="shared" si="11"/>
        <v>49</v>
      </c>
      <c r="B55" s="13">
        <v>0</v>
      </c>
      <c r="C55" s="17">
        <v>0</v>
      </c>
      <c r="D55" s="40">
        <f t="shared" si="9"/>
        <v>0</v>
      </c>
      <c r="E55" s="42" t="str">
        <f t="shared" si="10"/>
        <v>-</v>
      </c>
      <c r="F55" s="18">
        <f t="shared" si="12"/>
        <v>0</v>
      </c>
      <c r="G55" s="42" t="str">
        <f t="shared" si="5"/>
        <v>-</v>
      </c>
      <c r="H55" s="18">
        <f t="shared" si="13"/>
        <v>0</v>
      </c>
      <c r="I55" s="18">
        <f t="shared" si="8"/>
        <v>0</v>
      </c>
    </row>
    <row r="56" spans="1:9" ht="18" hidden="1" thickBot="1">
      <c r="A56" s="19">
        <f t="shared" si="11"/>
        <v>50</v>
      </c>
      <c r="B56" s="20">
        <v>0</v>
      </c>
      <c r="C56" s="21">
        <v>0</v>
      </c>
      <c r="D56" s="41">
        <f t="shared" si="9"/>
        <v>0</v>
      </c>
      <c r="E56" s="45" t="str">
        <f t="shared" si="10"/>
        <v>-</v>
      </c>
      <c r="F56" s="22">
        <f t="shared" si="12"/>
        <v>0</v>
      </c>
      <c r="G56" s="45" t="str">
        <f t="shared" si="5"/>
        <v>-</v>
      </c>
      <c r="H56" s="22">
        <f t="shared" si="13"/>
        <v>0</v>
      </c>
      <c r="I56" s="22">
        <f t="shared" si="8"/>
        <v>0</v>
      </c>
    </row>
    <row r="57" spans="1:9" ht="18" thickBot="1">
      <c r="A57" s="28" t="s">
        <v>0</v>
      </c>
      <c r="B57" s="32"/>
      <c r="C57" s="32"/>
      <c r="D57" s="32"/>
      <c r="E57" s="32"/>
      <c r="F57" s="47">
        <f>SUM(F6:F56)</f>
        <v>-253015.6906459793</v>
      </c>
      <c r="G57" s="43"/>
      <c r="H57" s="48">
        <f>SUM(H6:H56)</f>
        <v>-1.2223608791828156E-09</v>
      </c>
      <c r="I57" s="4"/>
    </row>
    <row r="58" spans="1:9" ht="18" thickBot="1">
      <c r="A58" s="27" t="s">
        <v>17</v>
      </c>
      <c r="B58" s="30"/>
      <c r="C58" s="30"/>
      <c r="D58" s="30"/>
      <c r="E58" s="30"/>
      <c r="F58" s="31">
        <f>I7</f>
        <v>-41177.13848565128</v>
      </c>
      <c r="G58" s="35"/>
      <c r="H58" s="35"/>
      <c r="I58" s="4"/>
    </row>
    <row r="59" spans="1:9" ht="18" thickBot="1">
      <c r="A59" s="29" t="s">
        <v>1</v>
      </c>
      <c r="B59" s="23"/>
      <c r="C59" s="23"/>
      <c r="D59" s="23"/>
      <c r="E59" s="23"/>
      <c r="F59" s="24">
        <f>IRR(D6:D56)</f>
        <v>0.0820672399884137</v>
      </c>
      <c r="G59" s="36"/>
      <c r="H59" s="36"/>
      <c r="I59" s="4"/>
    </row>
    <row r="60" spans="1:9" ht="18" thickBot="1">
      <c r="A60" s="28" t="s">
        <v>2</v>
      </c>
      <c r="B60" s="32"/>
      <c r="C60" s="32"/>
      <c r="D60" s="32"/>
      <c r="E60" s="32"/>
      <c r="F60" s="33">
        <f>NPER(B4,F62,F6,0)</f>
        <v>11.665663644688442</v>
      </c>
      <c r="G60" s="37"/>
      <c r="H60" s="37"/>
      <c r="I60" s="4"/>
    </row>
    <row r="61" spans="1:8" ht="12.75" hidden="1">
      <c r="A61" s="25" t="s">
        <v>5</v>
      </c>
      <c r="F61" s="26">
        <f>SUM(F7:F56)</f>
        <v>2746984.3093540207</v>
      </c>
      <c r="G61" s="26"/>
      <c r="H61" s="26"/>
    </row>
    <row r="62" spans="1:8" ht="12.75" hidden="1">
      <c r="A62" s="25" t="s">
        <v>6</v>
      </c>
      <c r="F62" s="1">
        <f>PMT(B4,B3,F61,0)*-1</f>
        <v>447059.04616188334</v>
      </c>
      <c r="G62" s="1"/>
      <c r="H62" s="1"/>
    </row>
    <row r="64" ht="17.25">
      <c r="A64" s="46" t="s">
        <v>15</v>
      </c>
    </row>
    <row r="65" spans="1:6" ht="78" customHeight="1">
      <c r="A65" s="221" t="str">
        <f>CONCATENATE("Da nutidsværdien er ",IF(F57&gt;=0,"positiv med ","negativ med "),"kr. ",ROUND(F57,0)," er investeringen ",IF(F57&gt;=0,"rentabel ","ikke rentabel "),"og bør ",IF(F57&gt;=0,"foretages. ","ikke foretages. "),"Den interne rente er på ",ROUND(F59,4)*100," hvilket er ",IF(ROUND((F59-B4),4)*100&gt;0,ROUND((F59-B4),4)*100,ROUND((F59-B4),4)*-100)," %-point ",IF(B4&lt;=F59,"over ","under "),"kalkulationsrenten på ",ROUND(B4,2)*100," %. ","Hvis man omregner nutidsværdien til en annuitet bliver det årlige ",IF(F57&gt;=0,"overskud ","underskud "),"på kr. ",ROUND(F58,0),". ","Både den ",IF(F57&gt;=0,"postive ","negative "),"nutidsværdi og det at den interne rente er ",IF(F57&gt;=0,"over ","under "),"kalkulationsrenten bekræfter os i at investeringen ",IF(F57&gt;=0,"bør foretages.","ikke bør foretages."))</f>
        <v>Da nutidsværdien er negativ med kr. -253016 er investeringen ikke rentabel og bør ikke foretages. Den interne rente er på 8,21 hvilket er 1,79 %-point under kalkulationsrenten på 10 %. Hvis man omregner nutidsværdien til en annuitet bliver det årlige underskud på kr. -41177. Både den negative nutidsværdi og det at den interne rente er under kalkulationsrenten bekræfter os i at investeringen ikke bør foretages.</v>
      </c>
      <c r="B65" s="221"/>
      <c r="C65" s="221"/>
      <c r="D65" s="221"/>
      <c r="E65" s="221"/>
      <c r="F65" s="221"/>
    </row>
    <row r="66" spans="1:6" ht="12.75">
      <c r="A66" s="2" t="s">
        <v>19</v>
      </c>
      <c r="B66" s="2" t="s">
        <v>20</v>
      </c>
      <c r="F66" s="51">
        <f>F57/E16*-1</f>
        <v>656257.5399000034</v>
      </c>
    </row>
    <row r="67" spans="1:6" ht="12.75">
      <c r="A67" s="2"/>
      <c r="B67" s="2" t="s">
        <v>21</v>
      </c>
      <c r="F67" s="51">
        <v>750000</v>
      </c>
    </row>
    <row r="68" spans="2:6" ht="12.75">
      <c r="B68" t="s">
        <v>22</v>
      </c>
      <c r="F68" s="51">
        <f>F66+F67</f>
        <v>1406257.5399000035</v>
      </c>
    </row>
  </sheetData>
  <sheetProtection/>
  <mergeCells count="2">
    <mergeCell ref="A1:C1"/>
    <mergeCell ref="A65:F65"/>
  </mergeCells>
  <printOptions/>
  <pageMargins left="0.7874015748031497" right="0.3937007874015748" top="0.984251968503937" bottom="0.984251968503937" header="0" footer="0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6">
      <selection activeCell="A65" sqref="A65:F65"/>
    </sheetView>
  </sheetViews>
  <sheetFormatPr defaultColWidth="9.140625" defaultRowHeight="12.75"/>
  <cols>
    <col min="1" max="1" width="9.28125" style="0" customWidth="1"/>
    <col min="2" max="2" width="16.140625" style="0" customWidth="1"/>
    <col min="3" max="3" width="20.7109375" style="0" customWidth="1"/>
    <col min="4" max="4" width="28.28125" style="0" customWidth="1"/>
    <col min="5" max="5" width="27.7109375" style="0" customWidth="1"/>
    <col min="6" max="6" width="28.28125" style="0" customWidth="1"/>
    <col min="7" max="7" width="24.7109375" style="0" hidden="1" customWidth="1"/>
    <col min="8" max="8" width="24.8515625" style="0" customWidth="1"/>
    <col min="9" max="9" width="24.140625" style="0" customWidth="1"/>
  </cols>
  <sheetData>
    <row r="1" spans="1:3" ht="17.25">
      <c r="A1" s="219" t="s">
        <v>18</v>
      </c>
      <c r="B1" s="220"/>
      <c r="C1" s="220"/>
    </row>
    <row r="2" ht="17.25">
      <c r="A2" s="38"/>
    </row>
    <row r="3" spans="1:2" ht="15">
      <c r="A3" s="5" t="s">
        <v>7</v>
      </c>
      <c r="B3" s="6">
        <v>10</v>
      </c>
    </row>
    <row r="4" spans="1:2" ht="15.75" thickBot="1">
      <c r="A4" s="5" t="s">
        <v>8</v>
      </c>
      <c r="B4" s="7">
        <v>0.1</v>
      </c>
    </row>
    <row r="5" spans="1:9" ht="64.5" customHeight="1" thickBot="1">
      <c r="A5" s="8" t="s">
        <v>9</v>
      </c>
      <c r="B5" s="9" t="s">
        <v>10</v>
      </c>
      <c r="C5" s="10" t="s">
        <v>11</v>
      </c>
      <c r="D5" s="8" t="s">
        <v>4</v>
      </c>
      <c r="E5" s="11" t="s">
        <v>13</v>
      </c>
      <c r="F5" s="8" t="s">
        <v>16</v>
      </c>
      <c r="G5" s="8" t="s">
        <v>14</v>
      </c>
      <c r="H5" s="11" t="str">
        <f>CONCATENATE("Nutidsværdien ved den interne rente (IRR) ",(ROUND(F59,4)*100)," %")</f>
        <v>Nutidsværdien ved den interne rente (IRR) 10 %</v>
      </c>
      <c r="I5" s="11" t="s">
        <v>12</v>
      </c>
    </row>
    <row r="6" spans="1:9" ht="17.25">
      <c r="A6" s="16">
        <v>0</v>
      </c>
      <c r="B6" s="34">
        <v>0</v>
      </c>
      <c r="C6" s="14">
        <v>3000000</v>
      </c>
      <c r="D6" s="39">
        <f aca="true" t="shared" si="0" ref="D6:D56">B6-C6</f>
        <v>-3000000</v>
      </c>
      <c r="E6" s="44">
        <f aca="true" t="shared" si="1" ref="E6:E56">IF(A6&lt;=$B$3,POWER((1+$B$4),(A6*-1)),"-")</f>
        <v>1</v>
      </c>
      <c r="F6" s="15">
        <f>D6</f>
        <v>-3000000</v>
      </c>
      <c r="G6" s="44">
        <f>IF(A6&lt;=$B$3,POWER((1+$F$59),(A6*-1)),"-")</f>
        <v>1</v>
      </c>
      <c r="H6" s="15">
        <f>F6</f>
        <v>-3000000</v>
      </c>
      <c r="I6" s="16"/>
    </row>
    <row r="7" spans="1:9" ht="17.25">
      <c r="A7" s="12">
        <f aca="true" t="shared" si="2" ref="A7:A56">A6+1</f>
        <v>1</v>
      </c>
      <c r="B7" s="13">
        <v>400000</v>
      </c>
      <c r="C7" s="17">
        <v>0</v>
      </c>
      <c r="D7" s="40">
        <f t="shared" si="0"/>
        <v>400000</v>
      </c>
      <c r="E7" s="42">
        <f t="shared" si="1"/>
        <v>0.9090909090909091</v>
      </c>
      <c r="F7" s="18">
        <f aca="true" t="shared" si="3" ref="F7:F56">PV($B$4,A7,0,D7)*-1</f>
        <v>363636.3636363636</v>
      </c>
      <c r="G7" s="42">
        <f>IF(A7&lt;=$B$3,POWER((1+$F$59),(A7*-1)),"-")</f>
        <v>0.9090909090888517</v>
      </c>
      <c r="H7" s="18">
        <f aca="true" t="shared" si="4" ref="H7:H56">PV($F$59,A7,0,D7)*-1</f>
        <v>363636.3636355407</v>
      </c>
      <c r="I7" s="18">
        <f>PMT($B$4,$B$3,$F$57)*-1</f>
        <v>6.2743279771473706E-06</v>
      </c>
    </row>
    <row r="8" spans="1:9" ht="17.25">
      <c r="A8" s="12">
        <f t="shared" si="2"/>
        <v>2</v>
      </c>
      <c r="B8" s="13">
        <v>400000</v>
      </c>
      <c r="C8" s="17">
        <v>0</v>
      </c>
      <c r="D8" s="40">
        <f t="shared" si="0"/>
        <v>400000</v>
      </c>
      <c r="E8" s="42">
        <f t="shared" si="1"/>
        <v>0.8264462809917354</v>
      </c>
      <c r="F8" s="18">
        <f t="shared" si="3"/>
        <v>330578.51239669416</v>
      </c>
      <c r="G8" s="42">
        <f aca="true" t="shared" si="5" ref="G8:G56">IF(A8&lt;=$B$3,POWER((1+$F$59),(A8*-1)),"-")</f>
        <v>0.8264462809879949</v>
      </c>
      <c r="H8" s="18">
        <f t="shared" si="4"/>
        <v>330578.51239519793</v>
      </c>
      <c r="I8" s="18">
        <f aca="true" t="shared" si="6" ref="I8:I13">IF(A8&lt;=$B$3,$I$7,0)</f>
        <v>6.2743279771473706E-06</v>
      </c>
    </row>
    <row r="9" spans="1:9" ht="17.25">
      <c r="A9" s="12">
        <f t="shared" si="2"/>
        <v>3</v>
      </c>
      <c r="B9" s="13">
        <v>400000</v>
      </c>
      <c r="C9" s="17">
        <v>0</v>
      </c>
      <c r="D9" s="40">
        <f t="shared" si="0"/>
        <v>400000</v>
      </c>
      <c r="E9" s="42">
        <f t="shared" si="1"/>
        <v>0.7513148009015775</v>
      </c>
      <c r="F9" s="18">
        <f t="shared" si="3"/>
        <v>300525.920360631</v>
      </c>
      <c r="G9" s="42">
        <f t="shared" si="5"/>
        <v>0.7513148008964768</v>
      </c>
      <c r="H9" s="18">
        <f t="shared" si="4"/>
        <v>300525.9203585908</v>
      </c>
      <c r="I9" s="18">
        <f t="shared" si="6"/>
        <v>6.2743279771473706E-06</v>
      </c>
    </row>
    <row r="10" spans="1:9" ht="17.25">
      <c r="A10" s="12">
        <f t="shared" si="2"/>
        <v>4</v>
      </c>
      <c r="B10" s="13">
        <v>400000</v>
      </c>
      <c r="C10" s="17">
        <v>0</v>
      </c>
      <c r="D10" s="40">
        <f t="shared" si="0"/>
        <v>400000</v>
      </c>
      <c r="E10" s="42">
        <f t="shared" si="1"/>
        <v>0.6830134553650705</v>
      </c>
      <c r="F10" s="18">
        <f t="shared" si="3"/>
        <v>273205.3821460282</v>
      </c>
      <c r="G10" s="42">
        <f t="shared" si="5"/>
        <v>0.6830134553588878</v>
      </c>
      <c r="H10" s="18">
        <f t="shared" si="4"/>
        <v>273205.3821435551</v>
      </c>
      <c r="I10" s="18">
        <f t="shared" si="6"/>
        <v>6.2743279771473706E-06</v>
      </c>
    </row>
    <row r="11" spans="1:9" ht="17.25">
      <c r="A11" s="12">
        <f t="shared" si="2"/>
        <v>5</v>
      </c>
      <c r="B11" s="13">
        <v>400000</v>
      </c>
      <c r="C11" s="17">
        <v>0</v>
      </c>
      <c r="D11" s="40">
        <f>(B11-C11)</f>
        <v>400000</v>
      </c>
      <c r="E11" s="42">
        <f t="shared" si="1"/>
        <v>0.6209213230591549</v>
      </c>
      <c r="F11" s="18">
        <f t="shared" si="3"/>
        <v>248368.529223662</v>
      </c>
      <c r="G11" s="42">
        <f t="shared" si="5"/>
        <v>0.6209213230521291</v>
      </c>
      <c r="H11" s="18">
        <f t="shared" si="4"/>
        <v>248368.52922085166</v>
      </c>
      <c r="I11" s="18">
        <f t="shared" si="6"/>
        <v>6.2743279771473706E-06</v>
      </c>
    </row>
    <row r="12" spans="1:9" ht="17.25">
      <c r="A12" s="12">
        <f t="shared" si="2"/>
        <v>6</v>
      </c>
      <c r="B12" s="13">
        <v>400000</v>
      </c>
      <c r="C12" s="17">
        <v>0</v>
      </c>
      <c r="D12" s="40">
        <f t="shared" si="0"/>
        <v>400000</v>
      </c>
      <c r="E12" s="42">
        <f t="shared" si="1"/>
        <v>0.5644739300537772</v>
      </c>
      <c r="F12" s="18">
        <f t="shared" si="3"/>
        <v>225789.57202151086</v>
      </c>
      <c r="G12" s="42">
        <f t="shared" si="5"/>
        <v>0.5644739300461127</v>
      </c>
      <c r="H12" s="18">
        <f t="shared" si="4"/>
        <v>225789.57201844506</v>
      </c>
      <c r="I12" s="18">
        <f t="shared" si="6"/>
        <v>6.2743279771473706E-06</v>
      </c>
    </row>
    <row r="13" spans="1:9" ht="17.25">
      <c r="A13" s="12">
        <f t="shared" si="2"/>
        <v>7</v>
      </c>
      <c r="B13" s="13">
        <v>400000</v>
      </c>
      <c r="C13" s="17">
        <v>0</v>
      </c>
      <c r="D13" s="40">
        <f t="shared" si="0"/>
        <v>400000</v>
      </c>
      <c r="E13" s="42">
        <f t="shared" si="1"/>
        <v>0.5131581182307065</v>
      </c>
      <c r="F13" s="18">
        <f t="shared" si="3"/>
        <v>205263.24729228258</v>
      </c>
      <c r="G13" s="42">
        <f t="shared" si="5"/>
        <v>0.5131581182225775</v>
      </c>
      <c r="H13" s="18">
        <f t="shared" si="4"/>
        <v>205263.247289031</v>
      </c>
      <c r="I13" s="18">
        <f t="shared" si="6"/>
        <v>6.2743279771473706E-06</v>
      </c>
    </row>
    <row r="14" spans="1:11" ht="17.25">
      <c r="A14" s="12">
        <f t="shared" si="2"/>
        <v>8</v>
      </c>
      <c r="B14" s="13">
        <v>400000</v>
      </c>
      <c r="C14" s="17">
        <v>0</v>
      </c>
      <c r="D14" s="40">
        <f t="shared" si="0"/>
        <v>400000</v>
      </c>
      <c r="E14" s="42">
        <f t="shared" si="1"/>
        <v>0.46650738020973315</v>
      </c>
      <c r="F14" s="18">
        <f t="shared" si="3"/>
        <v>186602.95208389327</v>
      </c>
      <c r="G14" s="42">
        <f t="shared" si="5"/>
        <v>0.4665073802012874</v>
      </c>
      <c r="H14" s="18">
        <f t="shared" si="4"/>
        <v>186602.95208051495</v>
      </c>
      <c r="I14" s="18">
        <f aca="true" t="shared" si="7" ref="I14:I56">IF(A13&lt;=$B$3,$I$7,0)</f>
        <v>6.2743279771473706E-06</v>
      </c>
      <c r="K14" s="3"/>
    </row>
    <row r="15" spans="1:9" ht="17.25">
      <c r="A15" s="12">
        <f t="shared" si="2"/>
        <v>9</v>
      </c>
      <c r="B15" s="13">
        <v>400000</v>
      </c>
      <c r="C15" s="17">
        <v>0</v>
      </c>
      <c r="D15" s="40">
        <f t="shared" si="0"/>
        <v>400000</v>
      </c>
      <c r="E15" s="42">
        <f t="shared" si="1"/>
        <v>0.42409761837248466</v>
      </c>
      <c r="F15" s="18">
        <f t="shared" si="3"/>
        <v>169639.04734899386</v>
      </c>
      <c r="G15" s="42">
        <f t="shared" si="5"/>
        <v>0.4240976183638469</v>
      </c>
      <c r="H15" s="18">
        <f t="shared" si="4"/>
        <v>169639.04734553877</v>
      </c>
      <c r="I15" s="18">
        <f t="shared" si="7"/>
        <v>6.2743279771473706E-06</v>
      </c>
    </row>
    <row r="16" spans="1:9" ht="18" thickBot="1">
      <c r="A16" s="12">
        <f t="shared" si="2"/>
        <v>10</v>
      </c>
      <c r="B16" s="13">
        <f>750000+400000+656257.54</f>
        <v>1806257.54</v>
      </c>
      <c r="C16" s="17">
        <v>0</v>
      </c>
      <c r="D16" s="40">
        <f t="shared" si="0"/>
        <v>1806257.54</v>
      </c>
      <c r="E16" s="42">
        <f t="shared" si="1"/>
        <v>0.3855432894295315</v>
      </c>
      <c r="F16" s="18">
        <f t="shared" si="3"/>
        <v>696390.4735284935</v>
      </c>
      <c r="G16" s="42">
        <f t="shared" si="5"/>
        <v>0.3855432894208065</v>
      </c>
      <c r="H16" s="18">
        <f t="shared" si="4"/>
        <v>696390.473512734</v>
      </c>
      <c r="I16" s="22">
        <f t="shared" si="7"/>
        <v>6.2743279771473706E-06</v>
      </c>
    </row>
    <row r="17" spans="1:9" ht="17.25" hidden="1">
      <c r="A17" s="12">
        <f t="shared" si="2"/>
        <v>11</v>
      </c>
      <c r="B17" s="13">
        <v>0</v>
      </c>
      <c r="C17" s="17">
        <v>0</v>
      </c>
      <c r="D17" s="40">
        <f t="shared" si="0"/>
        <v>0</v>
      </c>
      <c r="E17" s="42" t="str">
        <f t="shared" si="1"/>
        <v>-</v>
      </c>
      <c r="F17" s="18">
        <f t="shared" si="3"/>
        <v>0</v>
      </c>
      <c r="G17" s="42" t="str">
        <f t="shared" si="5"/>
        <v>-</v>
      </c>
      <c r="H17" s="18">
        <f t="shared" si="4"/>
        <v>0</v>
      </c>
      <c r="I17" s="18">
        <f t="shared" si="7"/>
        <v>6.2743279771473706E-06</v>
      </c>
    </row>
    <row r="18" spans="1:9" ht="17.25" hidden="1">
      <c r="A18" s="12">
        <f t="shared" si="2"/>
        <v>12</v>
      </c>
      <c r="B18" s="13">
        <v>0</v>
      </c>
      <c r="C18" s="17">
        <v>0</v>
      </c>
      <c r="D18" s="40">
        <f t="shared" si="0"/>
        <v>0</v>
      </c>
      <c r="E18" s="42" t="str">
        <f t="shared" si="1"/>
        <v>-</v>
      </c>
      <c r="F18" s="18">
        <f t="shared" si="3"/>
        <v>0</v>
      </c>
      <c r="G18" s="42" t="str">
        <f t="shared" si="5"/>
        <v>-</v>
      </c>
      <c r="H18" s="18">
        <f t="shared" si="4"/>
        <v>0</v>
      </c>
      <c r="I18" s="18">
        <f t="shared" si="7"/>
        <v>0</v>
      </c>
    </row>
    <row r="19" spans="1:11" ht="17.25" hidden="1">
      <c r="A19" s="12">
        <f t="shared" si="2"/>
        <v>13</v>
      </c>
      <c r="B19" s="13">
        <v>0</v>
      </c>
      <c r="C19" s="17">
        <v>0</v>
      </c>
      <c r="D19" s="40">
        <f t="shared" si="0"/>
        <v>0</v>
      </c>
      <c r="E19" s="42" t="str">
        <f t="shared" si="1"/>
        <v>-</v>
      </c>
      <c r="F19" s="18">
        <f t="shared" si="3"/>
        <v>0</v>
      </c>
      <c r="G19" s="42" t="str">
        <f t="shared" si="5"/>
        <v>-</v>
      </c>
      <c r="H19" s="18">
        <f t="shared" si="4"/>
        <v>0</v>
      </c>
      <c r="I19" s="18">
        <f t="shared" si="7"/>
        <v>0</v>
      </c>
      <c r="K19" s="3"/>
    </row>
    <row r="20" spans="1:9" ht="17.25" hidden="1">
      <c r="A20" s="12">
        <f t="shared" si="2"/>
        <v>14</v>
      </c>
      <c r="B20" s="13">
        <v>0</v>
      </c>
      <c r="C20" s="17">
        <v>0</v>
      </c>
      <c r="D20" s="40">
        <f t="shared" si="0"/>
        <v>0</v>
      </c>
      <c r="E20" s="42" t="str">
        <f t="shared" si="1"/>
        <v>-</v>
      </c>
      <c r="F20" s="18">
        <f t="shared" si="3"/>
        <v>0</v>
      </c>
      <c r="G20" s="42" t="str">
        <f t="shared" si="5"/>
        <v>-</v>
      </c>
      <c r="H20" s="18">
        <f t="shared" si="4"/>
        <v>0</v>
      </c>
      <c r="I20" s="18">
        <f t="shared" si="7"/>
        <v>0</v>
      </c>
    </row>
    <row r="21" spans="1:9" ht="18" hidden="1" thickBot="1">
      <c r="A21" s="19">
        <f t="shared" si="2"/>
        <v>15</v>
      </c>
      <c r="B21" s="20">
        <v>0</v>
      </c>
      <c r="C21" s="21">
        <v>0</v>
      </c>
      <c r="D21" s="41">
        <f t="shared" si="0"/>
        <v>0</v>
      </c>
      <c r="E21" s="45" t="str">
        <f t="shared" si="1"/>
        <v>-</v>
      </c>
      <c r="F21" s="22">
        <f t="shared" si="3"/>
        <v>0</v>
      </c>
      <c r="G21" s="45" t="str">
        <f t="shared" si="5"/>
        <v>-</v>
      </c>
      <c r="H21" s="22">
        <f t="shared" si="4"/>
        <v>0</v>
      </c>
      <c r="I21" s="22">
        <f t="shared" si="7"/>
        <v>0</v>
      </c>
    </row>
    <row r="22" spans="1:9" ht="17.25" hidden="1">
      <c r="A22" s="12">
        <f t="shared" si="2"/>
        <v>16</v>
      </c>
      <c r="B22" s="13">
        <v>0</v>
      </c>
      <c r="C22" s="17">
        <v>0</v>
      </c>
      <c r="D22" s="40">
        <f t="shared" si="0"/>
        <v>0</v>
      </c>
      <c r="E22" s="42" t="str">
        <f t="shared" si="1"/>
        <v>-</v>
      </c>
      <c r="F22" s="18">
        <f t="shared" si="3"/>
        <v>0</v>
      </c>
      <c r="G22" s="42" t="str">
        <f t="shared" si="5"/>
        <v>-</v>
      </c>
      <c r="H22" s="18">
        <f t="shared" si="4"/>
        <v>0</v>
      </c>
      <c r="I22" s="18">
        <f t="shared" si="7"/>
        <v>0</v>
      </c>
    </row>
    <row r="23" spans="1:9" ht="17.25" hidden="1">
      <c r="A23" s="12">
        <f t="shared" si="2"/>
        <v>17</v>
      </c>
      <c r="B23" s="13">
        <v>0</v>
      </c>
      <c r="C23" s="17">
        <v>0</v>
      </c>
      <c r="D23" s="40">
        <f t="shared" si="0"/>
        <v>0</v>
      </c>
      <c r="E23" s="42" t="str">
        <f t="shared" si="1"/>
        <v>-</v>
      </c>
      <c r="F23" s="18">
        <f t="shared" si="3"/>
        <v>0</v>
      </c>
      <c r="G23" s="42" t="str">
        <f t="shared" si="5"/>
        <v>-</v>
      </c>
      <c r="H23" s="18">
        <f t="shared" si="4"/>
        <v>0</v>
      </c>
      <c r="I23" s="18">
        <f t="shared" si="7"/>
        <v>0</v>
      </c>
    </row>
    <row r="24" spans="1:9" ht="17.25" hidden="1">
      <c r="A24" s="12">
        <f t="shared" si="2"/>
        <v>18</v>
      </c>
      <c r="B24" s="13">
        <v>0</v>
      </c>
      <c r="C24" s="17">
        <v>0</v>
      </c>
      <c r="D24" s="40">
        <f t="shared" si="0"/>
        <v>0</v>
      </c>
      <c r="E24" s="42" t="str">
        <f t="shared" si="1"/>
        <v>-</v>
      </c>
      <c r="F24" s="18">
        <f t="shared" si="3"/>
        <v>0</v>
      </c>
      <c r="G24" s="42" t="str">
        <f t="shared" si="5"/>
        <v>-</v>
      </c>
      <c r="H24" s="18">
        <f t="shared" si="4"/>
        <v>0</v>
      </c>
      <c r="I24" s="18">
        <f t="shared" si="7"/>
        <v>0</v>
      </c>
    </row>
    <row r="25" spans="1:9" ht="17.25" hidden="1">
      <c r="A25" s="12">
        <f t="shared" si="2"/>
        <v>19</v>
      </c>
      <c r="B25" s="13">
        <v>0</v>
      </c>
      <c r="C25" s="17">
        <v>0</v>
      </c>
      <c r="D25" s="40">
        <f t="shared" si="0"/>
        <v>0</v>
      </c>
      <c r="E25" s="42" t="str">
        <f t="shared" si="1"/>
        <v>-</v>
      </c>
      <c r="F25" s="18">
        <f t="shared" si="3"/>
        <v>0</v>
      </c>
      <c r="G25" s="42" t="str">
        <f t="shared" si="5"/>
        <v>-</v>
      </c>
      <c r="H25" s="18">
        <f t="shared" si="4"/>
        <v>0</v>
      </c>
      <c r="I25" s="18">
        <f t="shared" si="7"/>
        <v>0</v>
      </c>
    </row>
    <row r="26" spans="1:9" ht="17.25" hidden="1">
      <c r="A26" s="12">
        <f t="shared" si="2"/>
        <v>20</v>
      </c>
      <c r="B26" s="13">
        <v>0</v>
      </c>
      <c r="C26" s="17">
        <v>0</v>
      </c>
      <c r="D26" s="40">
        <f t="shared" si="0"/>
        <v>0</v>
      </c>
      <c r="E26" s="42" t="str">
        <f t="shared" si="1"/>
        <v>-</v>
      </c>
      <c r="F26" s="18">
        <f t="shared" si="3"/>
        <v>0</v>
      </c>
      <c r="G26" s="42" t="str">
        <f t="shared" si="5"/>
        <v>-</v>
      </c>
      <c r="H26" s="18">
        <f t="shared" si="4"/>
        <v>0</v>
      </c>
      <c r="I26" s="18">
        <f t="shared" si="7"/>
        <v>0</v>
      </c>
    </row>
    <row r="27" spans="1:9" ht="17.25" hidden="1">
      <c r="A27" s="12">
        <f t="shared" si="2"/>
        <v>21</v>
      </c>
      <c r="B27" s="13">
        <v>0</v>
      </c>
      <c r="C27" s="17">
        <v>0</v>
      </c>
      <c r="D27" s="40">
        <f t="shared" si="0"/>
        <v>0</v>
      </c>
      <c r="E27" s="42" t="str">
        <f t="shared" si="1"/>
        <v>-</v>
      </c>
      <c r="F27" s="18">
        <f t="shared" si="3"/>
        <v>0</v>
      </c>
      <c r="G27" s="42" t="str">
        <f t="shared" si="5"/>
        <v>-</v>
      </c>
      <c r="H27" s="18">
        <f t="shared" si="4"/>
        <v>0</v>
      </c>
      <c r="I27" s="18">
        <f t="shared" si="7"/>
        <v>0</v>
      </c>
    </row>
    <row r="28" spans="1:9" ht="17.25" hidden="1">
      <c r="A28" s="12">
        <f t="shared" si="2"/>
        <v>22</v>
      </c>
      <c r="B28" s="13">
        <v>0</v>
      </c>
      <c r="C28" s="17">
        <v>0</v>
      </c>
      <c r="D28" s="40">
        <f t="shared" si="0"/>
        <v>0</v>
      </c>
      <c r="E28" s="42" t="str">
        <f t="shared" si="1"/>
        <v>-</v>
      </c>
      <c r="F28" s="18">
        <f t="shared" si="3"/>
        <v>0</v>
      </c>
      <c r="G28" s="42" t="str">
        <f t="shared" si="5"/>
        <v>-</v>
      </c>
      <c r="H28" s="18">
        <f t="shared" si="4"/>
        <v>0</v>
      </c>
      <c r="I28" s="18">
        <f t="shared" si="7"/>
        <v>0</v>
      </c>
    </row>
    <row r="29" spans="1:9" ht="17.25" hidden="1">
      <c r="A29" s="12">
        <f t="shared" si="2"/>
        <v>23</v>
      </c>
      <c r="B29" s="13">
        <v>0</v>
      </c>
      <c r="C29" s="17">
        <v>0</v>
      </c>
      <c r="D29" s="40">
        <f t="shared" si="0"/>
        <v>0</v>
      </c>
      <c r="E29" s="42" t="str">
        <f t="shared" si="1"/>
        <v>-</v>
      </c>
      <c r="F29" s="18">
        <f t="shared" si="3"/>
        <v>0</v>
      </c>
      <c r="G29" s="42" t="str">
        <f t="shared" si="5"/>
        <v>-</v>
      </c>
      <c r="H29" s="18">
        <f t="shared" si="4"/>
        <v>0</v>
      </c>
      <c r="I29" s="18">
        <f t="shared" si="7"/>
        <v>0</v>
      </c>
    </row>
    <row r="30" spans="1:9" ht="17.25" hidden="1">
      <c r="A30" s="12">
        <f t="shared" si="2"/>
        <v>24</v>
      </c>
      <c r="B30" s="13">
        <v>0</v>
      </c>
      <c r="C30" s="17">
        <v>0</v>
      </c>
      <c r="D30" s="40">
        <f t="shared" si="0"/>
        <v>0</v>
      </c>
      <c r="E30" s="42" t="str">
        <f t="shared" si="1"/>
        <v>-</v>
      </c>
      <c r="F30" s="18">
        <f t="shared" si="3"/>
        <v>0</v>
      </c>
      <c r="G30" s="42" t="str">
        <f t="shared" si="5"/>
        <v>-</v>
      </c>
      <c r="H30" s="18">
        <f t="shared" si="4"/>
        <v>0</v>
      </c>
      <c r="I30" s="18">
        <f t="shared" si="7"/>
        <v>0</v>
      </c>
    </row>
    <row r="31" spans="1:9" ht="17.25" hidden="1">
      <c r="A31" s="12">
        <f t="shared" si="2"/>
        <v>25</v>
      </c>
      <c r="B31" s="13">
        <v>0</v>
      </c>
      <c r="C31" s="17">
        <v>0</v>
      </c>
      <c r="D31" s="40">
        <f t="shared" si="0"/>
        <v>0</v>
      </c>
      <c r="E31" s="42" t="str">
        <f t="shared" si="1"/>
        <v>-</v>
      </c>
      <c r="F31" s="18">
        <f t="shared" si="3"/>
        <v>0</v>
      </c>
      <c r="G31" s="42" t="str">
        <f t="shared" si="5"/>
        <v>-</v>
      </c>
      <c r="H31" s="18">
        <f t="shared" si="4"/>
        <v>0</v>
      </c>
      <c r="I31" s="18">
        <f t="shared" si="7"/>
        <v>0</v>
      </c>
    </row>
    <row r="32" spans="1:9" ht="17.25" hidden="1">
      <c r="A32" s="12">
        <f t="shared" si="2"/>
        <v>26</v>
      </c>
      <c r="B32" s="13">
        <v>0</v>
      </c>
      <c r="C32" s="17">
        <v>0</v>
      </c>
      <c r="D32" s="40">
        <f t="shared" si="0"/>
        <v>0</v>
      </c>
      <c r="E32" s="42" t="str">
        <f t="shared" si="1"/>
        <v>-</v>
      </c>
      <c r="F32" s="18">
        <f t="shared" si="3"/>
        <v>0</v>
      </c>
      <c r="G32" s="42" t="str">
        <f t="shared" si="5"/>
        <v>-</v>
      </c>
      <c r="H32" s="18">
        <f t="shared" si="4"/>
        <v>0</v>
      </c>
      <c r="I32" s="18">
        <f t="shared" si="7"/>
        <v>0</v>
      </c>
    </row>
    <row r="33" spans="1:9" ht="17.25" hidden="1">
      <c r="A33" s="12">
        <f t="shared" si="2"/>
        <v>27</v>
      </c>
      <c r="B33" s="13">
        <v>0</v>
      </c>
      <c r="C33" s="17">
        <v>0</v>
      </c>
      <c r="D33" s="40">
        <f t="shared" si="0"/>
        <v>0</v>
      </c>
      <c r="E33" s="42" t="str">
        <f t="shared" si="1"/>
        <v>-</v>
      </c>
      <c r="F33" s="18">
        <f t="shared" si="3"/>
        <v>0</v>
      </c>
      <c r="G33" s="42" t="str">
        <f t="shared" si="5"/>
        <v>-</v>
      </c>
      <c r="H33" s="18">
        <f t="shared" si="4"/>
        <v>0</v>
      </c>
      <c r="I33" s="18">
        <f t="shared" si="7"/>
        <v>0</v>
      </c>
    </row>
    <row r="34" spans="1:9" ht="17.25" hidden="1">
      <c r="A34" s="12">
        <f t="shared" si="2"/>
        <v>28</v>
      </c>
      <c r="B34" s="13">
        <v>0</v>
      </c>
      <c r="C34" s="17">
        <v>0</v>
      </c>
      <c r="D34" s="40">
        <f t="shared" si="0"/>
        <v>0</v>
      </c>
      <c r="E34" s="42" t="str">
        <f t="shared" si="1"/>
        <v>-</v>
      </c>
      <c r="F34" s="18">
        <f t="shared" si="3"/>
        <v>0</v>
      </c>
      <c r="G34" s="42" t="str">
        <f t="shared" si="5"/>
        <v>-</v>
      </c>
      <c r="H34" s="18">
        <f t="shared" si="4"/>
        <v>0</v>
      </c>
      <c r="I34" s="18">
        <f t="shared" si="7"/>
        <v>0</v>
      </c>
    </row>
    <row r="35" spans="1:9" ht="17.25" hidden="1">
      <c r="A35" s="12">
        <f t="shared" si="2"/>
        <v>29</v>
      </c>
      <c r="B35" s="13">
        <v>0</v>
      </c>
      <c r="C35" s="17">
        <v>0</v>
      </c>
      <c r="D35" s="40">
        <f t="shared" si="0"/>
        <v>0</v>
      </c>
      <c r="E35" s="42" t="str">
        <f t="shared" si="1"/>
        <v>-</v>
      </c>
      <c r="F35" s="18">
        <f t="shared" si="3"/>
        <v>0</v>
      </c>
      <c r="G35" s="42" t="str">
        <f t="shared" si="5"/>
        <v>-</v>
      </c>
      <c r="H35" s="18">
        <f t="shared" si="4"/>
        <v>0</v>
      </c>
      <c r="I35" s="18">
        <f t="shared" si="7"/>
        <v>0</v>
      </c>
    </row>
    <row r="36" spans="1:9" ht="17.25" hidden="1">
      <c r="A36" s="12">
        <f t="shared" si="2"/>
        <v>30</v>
      </c>
      <c r="B36" s="13">
        <v>0</v>
      </c>
      <c r="C36" s="17">
        <v>0</v>
      </c>
      <c r="D36" s="40">
        <f t="shared" si="0"/>
        <v>0</v>
      </c>
      <c r="E36" s="42" t="str">
        <f t="shared" si="1"/>
        <v>-</v>
      </c>
      <c r="F36" s="18">
        <f t="shared" si="3"/>
        <v>0</v>
      </c>
      <c r="G36" s="42" t="str">
        <f t="shared" si="5"/>
        <v>-</v>
      </c>
      <c r="H36" s="18">
        <f t="shared" si="4"/>
        <v>0</v>
      </c>
      <c r="I36" s="18">
        <f t="shared" si="7"/>
        <v>0</v>
      </c>
    </row>
    <row r="37" spans="1:9" ht="17.25" hidden="1">
      <c r="A37" s="12">
        <f t="shared" si="2"/>
        <v>31</v>
      </c>
      <c r="B37" s="13">
        <v>0</v>
      </c>
      <c r="C37" s="17">
        <v>0</v>
      </c>
      <c r="D37" s="40">
        <f t="shared" si="0"/>
        <v>0</v>
      </c>
      <c r="E37" s="42" t="str">
        <f t="shared" si="1"/>
        <v>-</v>
      </c>
      <c r="F37" s="18">
        <f t="shared" si="3"/>
        <v>0</v>
      </c>
      <c r="G37" s="42" t="str">
        <f t="shared" si="5"/>
        <v>-</v>
      </c>
      <c r="H37" s="18">
        <f t="shared" si="4"/>
        <v>0</v>
      </c>
      <c r="I37" s="18">
        <f t="shared" si="7"/>
        <v>0</v>
      </c>
    </row>
    <row r="38" spans="1:9" ht="17.25" hidden="1">
      <c r="A38" s="12">
        <f t="shared" si="2"/>
        <v>32</v>
      </c>
      <c r="B38" s="13">
        <v>0</v>
      </c>
      <c r="C38" s="17">
        <v>0</v>
      </c>
      <c r="D38" s="40">
        <f t="shared" si="0"/>
        <v>0</v>
      </c>
      <c r="E38" s="42" t="str">
        <f t="shared" si="1"/>
        <v>-</v>
      </c>
      <c r="F38" s="18">
        <f t="shared" si="3"/>
        <v>0</v>
      </c>
      <c r="G38" s="42" t="str">
        <f t="shared" si="5"/>
        <v>-</v>
      </c>
      <c r="H38" s="18">
        <f t="shared" si="4"/>
        <v>0</v>
      </c>
      <c r="I38" s="18">
        <f t="shared" si="7"/>
        <v>0</v>
      </c>
    </row>
    <row r="39" spans="1:9" ht="17.25" hidden="1">
      <c r="A39" s="12">
        <f t="shared" si="2"/>
        <v>33</v>
      </c>
      <c r="B39" s="13">
        <v>0</v>
      </c>
      <c r="C39" s="17">
        <v>0</v>
      </c>
      <c r="D39" s="40">
        <f t="shared" si="0"/>
        <v>0</v>
      </c>
      <c r="E39" s="42" t="str">
        <f t="shared" si="1"/>
        <v>-</v>
      </c>
      <c r="F39" s="18">
        <f t="shared" si="3"/>
        <v>0</v>
      </c>
      <c r="G39" s="42" t="str">
        <f t="shared" si="5"/>
        <v>-</v>
      </c>
      <c r="H39" s="18">
        <f t="shared" si="4"/>
        <v>0</v>
      </c>
      <c r="I39" s="18">
        <f t="shared" si="7"/>
        <v>0</v>
      </c>
    </row>
    <row r="40" spans="1:9" ht="17.25" hidden="1">
      <c r="A40" s="12">
        <f t="shared" si="2"/>
        <v>34</v>
      </c>
      <c r="B40" s="13">
        <v>0</v>
      </c>
      <c r="C40" s="17">
        <v>0</v>
      </c>
      <c r="D40" s="40">
        <f t="shared" si="0"/>
        <v>0</v>
      </c>
      <c r="E40" s="42" t="str">
        <f t="shared" si="1"/>
        <v>-</v>
      </c>
      <c r="F40" s="18">
        <f t="shared" si="3"/>
        <v>0</v>
      </c>
      <c r="G40" s="42" t="str">
        <f t="shared" si="5"/>
        <v>-</v>
      </c>
      <c r="H40" s="18">
        <f t="shared" si="4"/>
        <v>0</v>
      </c>
      <c r="I40" s="18">
        <f t="shared" si="7"/>
        <v>0</v>
      </c>
    </row>
    <row r="41" spans="1:9" ht="17.25" hidden="1">
      <c r="A41" s="12">
        <f t="shared" si="2"/>
        <v>35</v>
      </c>
      <c r="B41" s="13">
        <v>0</v>
      </c>
      <c r="C41" s="17">
        <v>0</v>
      </c>
      <c r="D41" s="40">
        <f t="shared" si="0"/>
        <v>0</v>
      </c>
      <c r="E41" s="42" t="str">
        <f t="shared" si="1"/>
        <v>-</v>
      </c>
      <c r="F41" s="18">
        <f t="shared" si="3"/>
        <v>0</v>
      </c>
      <c r="G41" s="42" t="str">
        <f t="shared" si="5"/>
        <v>-</v>
      </c>
      <c r="H41" s="18">
        <f t="shared" si="4"/>
        <v>0</v>
      </c>
      <c r="I41" s="18">
        <f t="shared" si="7"/>
        <v>0</v>
      </c>
    </row>
    <row r="42" spans="1:9" ht="17.25" hidden="1">
      <c r="A42" s="12">
        <f t="shared" si="2"/>
        <v>36</v>
      </c>
      <c r="B42" s="13">
        <v>0</v>
      </c>
      <c r="C42" s="17">
        <v>0</v>
      </c>
      <c r="D42" s="40">
        <f t="shared" si="0"/>
        <v>0</v>
      </c>
      <c r="E42" s="42" t="str">
        <f t="shared" si="1"/>
        <v>-</v>
      </c>
      <c r="F42" s="18">
        <f t="shared" si="3"/>
        <v>0</v>
      </c>
      <c r="G42" s="42" t="str">
        <f t="shared" si="5"/>
        <v>-</v>
      </c>
      <c r="H42" s="18">
        <f t="shared" si="4"/>
        <v>0</v>
      </c>
      <c r="I42" s="18">
        <f t="shared" si="7"/>
        <v>0</v>
      </c>
    </row>
    <row r="43" spans="1:9" ht="17.25" hidden="1">
      <c r="A43" s="12">
        <f t="shared" si="2"/>
        <v>37</v>
      </c>
      <c r="B43" s="13">
        <v>0</v>
      </c>
      <c r="C43" s="17">
        <v>0</v>
      </c>
      <c r="D43" s="40">
        <f t="shared" si="0"/>
        <v>0</v>
      </c>
      <c r="E43" s="42" t="str">
        <f t="shared" si="1"/>
        <v>-</v>
      </c>
      <c r="F43" s="18">
        <f t="shared" si="3"/>
        <v>0</v>
      </c>
      <c r="G43" s="42" t="str">
        <f t="shared" si="5"/>
        <v>-</v>
      </c>
      <c r="H43" s="18">
        <f t="shared" si="4"/>
        <v>0</v>
      </c>
      <c r="I43" s="18">
        <f t="shared" si="7"/>
        <v>0</v>
      </c>
    </row>
    <row r="44" spans="1:9" ht="17.25" hidden="1">
      <c r="A44" s="12">
        <f t="shared" si="2"/>
        <v>38</v>
      </c>
      <c r="B44" s="13">
        <v>0</v>
      </c>
      <c r="C44" s="17">
        <v>0</v>
      </c>
      <c r="D44" s="40">
        <f t="shared" si="0"/>
        <v>0</v>
      </c>
      <c r="E44" s="42" t="str">
        <f t="shared" si="1"/>
        <v>-</v>
      </c>
      <c r="F44" s="18">
        <f t="shared" si="3"/>
        <v>0</v>
      </c>
      <c r="G44" s="42" t="str">
        <f t="shared" si="5"/>
        <v>-</v>
      </c>
      <c r="H44" s="18">
        <f t="shared" si="4"/>
        <v>0</v>
      </c>
      <c r="I44" s="18">
        <f t="shared" si="7"/>
        <v>0</v>
      </c>
    </row>
    <row r="45" spans="1:9" ht="17.25" hidden="1">
      <c r="A45" s="12">
        <f t="shared" si="2"/>
        <v>39</v>
      </c>
      <c r="B45" s="13">
        <v>0</v>
      </c>
      <c r="C45" s="17">
        <v>0</v>
      </c>
      <c r="D45" s="40">
        <f t="shared" si="0"/>
        <v>0</v>
      </c>
      <c r="E45" s="42" t="str">
        <f t="shared" si="1"/>
        <v>-</v>
      </c>
      <c r="F45" s="18">
        <f t="shared" si="3"/>
        <v>0</v>
      </c>
      <c r="G45" s="42" t="str">
        <f t="shared" si="5"/>
        <v>-</v>
      </c>
      <c r="H45" s="18">
        <f t="shared" si="4"/>
        <v>0</v>
      </c>
      <c r="I45" s="18">
        <f t="shared" si="7"/>
        <v>0</v>
      </c>
    </row>
    <row r="46" spans="1:9" ht="17.25" hidden="1">
      <c r="A46" s="12">
        <f t="shared" si="2"/>
        <v>40</v>
      </c>
      <c r="B46" s="13">
        <v>0</v>
      </c>
      <c r="C46" s="17">
        <v>0</v>
      </c>
      <c r="D46" s="40">
        <f t="shared" si="0"/>
        <v>0</v>
      </c>
      <c r="E46" s="42" t="str">
        <f t="shared" si="1"/>
        <v>-</v>
      </c>
      <c r="F46" s="18">
        <f t="shared" si="3"/>
        <v>0</v>
      </c>
      <c r="G46" s="42" t="str">
        <f t="shared" si="5"/>
        <v>-</v>
      </c>
      <c r="H46" s="18">
        <f t="shared" si="4"/>
        <v>0</v>
      </c>
      <c r="I46" s="18">
        <f t="shared" si="7"/>
        <v>0</v>
      </c>
    </row>
    <row r="47" spans="1:9" ht="17.25" hidden="1">
      <c r="A47" s="12">
        <f t="shared" si="2"/>
        <v>41</v>
      </c>
      <c r="B47" s="13">
        <v>0</v>
      </c>
      <c r="C47" s="17">
        <v>0</v>
      </c>
      <c r="D47" s="40">
        <f t="shared" si="0"/>
        <v>0</v>
      </c>
      <c r="E47" s="42" t="str">
        <f t="shared" si="1"/>
        <v>-</v>
      </c>
      <c r="F47" s="18">
        <f t="shared" si="3"/>
        <v>0</v>
      </c>
      <c r="G47" s="42" t="str">
        <f t="shared" si="5"/>
        <v>-</v>
      </c>
      <c r="H47" s="18">
        <f t="shared" si="4"/>
        <v>0</v>
      </c>
      <c r="I47" s="18">
        <f t="shared" si="7"/>
        <v>0</v>
      </c>
    </row>
    <row r="48" spans="1:9" ht="17.25" hidden="1">
      <c r="A48" s="12">
        <f t="shared" si="2"/>
        <v>42</v>
      </c>
      <c r="B48" s="13">
        <v>0</v>
      </c>
      <c r="C48" s="17">
        <v>0</v>
      </c>
      <c r="D48" s="40">
        <f t="shared" si="0"/>
        <v>0</v>
      </c>
      <c r="E48" s="42" t="str">
        <f t="shared" si="1"/>
        <v>-</v>
      </c>
      <c r="F48" s="18">
        <f t="shared" si="3"/>
        <v>0</v>
      </c>
      <c r="G48" s="42" t="str">
        <f t="shared" si="5"/>
        <v>-</v>
      </c>
      <c r="H48" s="18">
        <f t="shared" si="4"/>
        <v>0</v>
      </c>
      <c r="I48" s="18">
        <f t="shared" si="7"/>
        <v>0</v>
      </c>
    </row>
    <row r="49" spans="1:9" ht="17.25" hidden="1">
      <c r="A49" s="12">
        <f t="shared" si="2"/>
        <v>43</v>
      </c>
      <c r="B49" s="13">
        <v>0</v>
      </c>
      <c r="C49" s="17">
        <v>0</v>
      </c>
      <c r="D49" s="40">
        <f t="shared" si="0"/>
        <v>0</v>
      </c>
      <c r="E49" s="42" t="str">
        <f t="shared" si="1"/>
        <v>-</v>
      </c>
      <c r="F49" s="18">
        <f t="shared" si="3"/>
        <v>0</v>
      </c>
      <c r="G49" s="42" t="str">
        <f t="shared" si="5"/>
        <v>-</v>
      </c>
      <c r="H49" s="18">
        <f t="shared" si="4"/>
        <v>0</v>
      </c>
      <c r="I49" s="18">
        <f t="shared" si="7"/>
        <v>0</v>
      </c>
    </row>
    <row r="50" spans="1:9" ht="17.25" hidden="1">
      <c r="A50" s="12">
        <f t="shared" si="2"/>
        <v>44</v>
      </c>
      <c r="B50" s="13">
        <v>0</v>
      </c>
      <c r="C50" s="17">
        <v>0</v>
      </c>
      <c r="D50" s="40">
        <f t="shared" si="0"/>
        <v>0</v>
      </c>
      <c r="E50" s="42" t="str">
        <f t="shared" si="1"/>
        <v>-</v>
      </c>
      <c r="F50" s="18">
        <f t="shared" si="3"/>
        <v>0</v>
      </c>
      <c r="G50" s="42" t="str">
        <f t="shared" si="5"/>
        <v>-</v>
      </c>
      <c r="H50" s="18">
        <f t="shared" si="4"/>
        <v>0</v>
      </c>
      <c r="I50" s="18">
        <f t="shared" si="7"/>
        <v>0</v>
      </c>
    </row>
    <row r="51" spans="1:9" ht="17.25" hidden="1">
      <c r="A51" s="12">
        <f t="shared" si="2"/>
        <v>45</v>
      </c>
      <c r="B51" s="13">
        <v>0</v>
      </c>
      <c r="C51" s="17">
        <v>0</v>
      </c>
      <c r="D51" s="40">
        <f t="shared" si="0"/>
        <v>0</v>
      </c>
      <c r="E51" s="42" t="str">
        <f t="shared" si="1"/>
        <v>-</v>
      </c>
      <c r="F51" s="18">
        <f t="shared" si="3"/>
        <v>0</v>
      </c>
      <c r="G51" s="42" t="str">
        <f t="shared" si="5"/>
        <v>-</v>
      </c>
      <c r="H51" s="18">
        <f t="shared" si="4"/>
        <v>0</v>
      </c>
      <c r="I51" s="18">
        <f t="shared" si="7"/>
        <v>0</v>
      </c>
    </row>
    <row r="52" spans="1:9" ht="17.25" hidden="1">
      <c r="A52" s="12">
        <f t="shared" si="2"/>
        <v>46</v>
      </c>
      <c r="B52" s="13">
        <v>0</v>
      </c>
      <c r="C52" s="17">
        <v>0</v>
      </c>
      <c r="D52" s="40">
        <f t="shared" si="0"/>
        <v>0</v>
      </c>
      <c r="E52" s="42" t="str">
        <f t="shared" si="1"/>
        <v>-</v>
      </c>
      <c r="F52" s="18">
        <f t="shared" si="3"/>
        <v>0</v>
      </c>
      <c r="G52" s="42" t="str">
        <f t="shared" si="5"/>
        <v>-</v>
      </c>
      <c r="H52" s="18">
        <f t="shared" si="4"/>
        <v>0</v>
      </c>
      <c r="I52" s="18">
        <f t="shared" si="7"/>
        <v>0</v>
      </c>
    </row>
    <row r="53" spans="1:9" ht="17.25" hidden="1">
      <c r="A53" s="12">
        <f t="shared" si="2"/>
        <v>47</v>
      </c>
      <c r="B53" s="13">
        <v>0</v>
      </c>
      <c r="C53" s="17">
        <v>0</v>
      </c>
      <c r="D53" s="40">
        <f t="shared" si="0"/>
        <v>0</v>
      </c>
      <c r="E53" s="42" t="str">
        <f t="shared" si="1"/>
        <v>-</v>
      </c>
      <c r="F53" s="18">
        <f t="shared" si="3"/>
        <v>0</v>
      </c>
      <c r="G53" s="42" t="str">
        <f t="shared" si="5"/>
        <v>-</v>
      </c>
      <c r="H53" s="18">
        <f t="shared" si="4"/>
        <v>0</v>
      </c>
      <c r="I53" s="18">
        <f t="shared" si="7"/>
        <v>0</v>
      </c>
    </row>
    <row r="54" spans="1:9" ht="17.25" hidden="1">
      <c r="A54" s="12">
        <f t="shared" si="2"/>
        <v>48</v>
      </c>
      <c r="B54" s="13">
        <v>0</v>
      </c>
      <c r="C54" s="17">
        <v>0</v>
      </c>
      <c r="D54" s="40">
        <f t="shared" si="0"/>
        <v>0</v>
      </c>
      <c r="E54" s="42" t="str">
        <f t="shared" si="1"/>
        <v>-</v>
      </c>
      <c r="F54" s="18">
        <f t="shared" si="3"/>
        <v>0</v>
      </c>
      <c r="G54" s="42" t="str">
        <f t="shared" si="5"/>
        <v>-</v>
      </c>
      <c r="H54" s="18">
        <f t="shared" si="4"/>
        <v>0</v>
      </c>
      <c r="I54" s="18">
        <f t="shared" si="7"/>
        <v>0</v>
      </c>
    </row>
    <row r="55" spans="1:9" ht="17.25" hidden="1">
      <c r="A55" s="12">
        <f t="shared" si="2"/>
        <v>49</v>
      </c>
      <c r="B55" s="13">
        <v>0</v>
      </c>
      <c r="C55" s="17">
        <v>0</v>
      </c>
      <c r="D55" s="40">
        <f t="shared" si="0"/>
        <v>0</v>
      </c>
      <c r="E55" s="42" t="str">
        <f t="shared" si="1"/>
        <v>-</v>
      </c>
      <c r="F55" s="18">
        <f t="shared" si="3"/>
        <v>0</v>
      </c>
      <c r="G55" s="42" t="str">
        <f t="shared" si="5"/>
        <v>-</v>
      </c>
      <c r="H55" s="18">
        <f t="shared" si="4"/>
        <v>0</v>
      </c>
      <c r="I55" s="18">
        <f t="shared" si="7"/>
        <v>0</v>
      </c>
    </row>
    <row r="56" spans="1:9" ht="18" hidden="1" thickBot="1">
      <c r="A56" s="19">
        <f t="shared" si="2"/>
        <v>50</v>
      </c>
      <c r="B56" s="20">
        <v>0</v>
      </c>
      <c r="C56" s="21">
        <v>0</v>
      </c>
      <c r="D56" s="41">
        <f t="shared" si="0"/>
        <v>0</v>
      </c>
      <c r="E56" s="45" t="str">
        <f t="shared" si="1"/>
        <v>-</v>
      </c>
      <c r="F56" s="22">
        <f t="shared" si="3"/>
        <v>0</v>
      </c>
      <c r="G56" s="45" t="str">
        <f t="shared" si="5"/>
        <v>-</v>
      </c>
      <c r="H56" s="22">
        <f t="shared" si="4"/>
        <v>0</v>
      </c>
      <c r="I56" s="22">
        <f t="shared" si="7"/>
        <v>0</v>
      </c>
    </row>
    <row r="57" spans="1:9" ht="18" thickBot="1">
      <c r="A57" s="28" t="s">
        <v>0</v>
      </c>
      <c r="B57" s="32"/>
      <c r="C57" s="32"/>
      <c r="D57" s="32"/>
      <c r="E57" s="32"/>
      <c r="F57" s="47">
        <f>SUM(F6:F56)</f>
        <v>3.855302929878235E-05</v>
      </c>
      <c r="G57" s="43"/>
      <c r="H57" s="48">
        <f>SUM(H6:H56)</f>
        <v>3.4924596548080444E-10</v>
      </c>
      <c r="I57" s="4"/>
    </row>
    <row r="58" spans="1:9" ht="18" thickBot="1">
      <c r="A58" s="27" t="s">
        <v>17</v>
      </c>
      <c r="B58" s="30"/>
      <c r="C58" s="30"/>
      <c r="D58" s="30"/>
      <c r="E58" s="30"/>
      <c r="F58" s="31">
        <f>I7</f>
        <v>6.2743279771473706E-06</v>
      </c>
      <c r="G58" s="35"/>
      <c r="H58" s="35"/>
      <c r="I58" s="4"/>
    </row>
    <row r="59" spans="1:9" ht="18" thickBot="1">
      <c r="A59" s="29" t="s">
        <v>1</v>
      </c>
      <c r="B59" s="23"/>
      <c r="C59" s="23"/>
      <c r="D59" s="23"/>
      <c r="E59" s="23"/>
      <c r="F59" s="24">
        <f>IRR(D6:D56)</f>
        <v>0.1000000000024894</v>
      </c>
      <c r="G59" s="36"/>
      <c r="H59" s="36"/>
      <c r="I59" s="4"/>
    </row>
    <row r="60" spans="1:9" ht="18" thickBot="1">
      <c r="A60" s="28" t="s">
        <v>2</v>
      </c>
      <c r="B60" s="32"/>
      <c r="C60" s="32"/>
      <c r="D60" s="32"/>
      <c r="E60" s="32"/>
      <c r="F60" s="33">
        <f>NPER(B4,F62,F6,0)</f>
        <v>9.999999999785109</v>
      </c>
      <c r="G60" s="37"/>
      <c r="H60" s="37"/>
      <c r="I60" s="4"/>
    </row>
    <row r="61" spans="1:8" ht="12.75" hidden="1">
      <c r="A61" s="25" t="s">
        <v>5</v>
      </c>
      <c r="F61" s="26">
        <f>SUM(F7:F56)</f>
        <v>3000000.000038553</v>
      </c>
      <c r="G61" s="26"/>
      <c r="H61" s="26"/>
    </row>
    <row r="62" spans="1:8" ht="12.75" hidden="1">
      <c r="A62" s="25" t="s">
        <v>6</v>
      </c>
      <c r="F62" s="1">
        <f>PMT(B4,B3,F61,0)*-1</f>
        <v>488236.18465380894</v>
      </c>
      <c r="G62" s="1"/>
      <c r="H62" s="1"/>
    </row>
    <row r="64" ht="17.25">
      <c r="A64" s="46" t="s">
        <v>23</v>
      </c>
    </row>
    <row r="65" spans="1:6" ht="78" customHeight="1">
      <c r="A65" s="221" t="s">
        <v>25</v>
      </c>
      <c r="B65" s="221"/>
      <c r="C65" s="221"/>
      <c r="D65" s="221"/>
      <c r="E65" s="221"/>
      <c r="F65" s="221"/>
    </row>
    <row r="66" spans="1:6" ht="12.75">
      <c r="A66" s="2"/>
      <c r="B66" s="2"/>
      <c r="F66" s="50"/>
    </row>
    <row r="67" spans="1:6" ht="12.75">
      <c r="A67" s="2"/>
      <c r="B67" s="2"/>
      <c r="F67" s="49"/>
    </row>
    <row r="68" ht="12.75">
      <c r="F68" s="49"/>
    </row>
  </sheetData>
  <sheetProtection/>
  <mergeCells count="2">
    <mergeCell ref="A1:C1"/>
    <mergeCell ref="A65:F65"/>
  </mergeCells>
  <printOptions/>
  <pageMargins left="0.7874015748031497" right="0.3937007874015748" top="0.984251968503937" bottom="0.984251968503937" header="0" footer="0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6">
      <selection activeCell="F66" sqref="F66:F67"/>
    </sheetView>
  </sheetViews>
  <sheetFormatPr defaultColWidth="9.140625" defaultRowHeight="12.75"/>
  <cols>
    <col min="1" max="1" width="9.28125" style="0" customWidth="1"/>
    <col min="2" max="2" width="16.140625" style="0" customWidth="1"/>
    <col min="3" max="3" width="20.7109375" style="0" customWidth="1"/>
    <col min="4" max="4" width="28.28125" style="0" customWidth="1"/>
    <col min="5" max="5" width="27.7109375" style="0" customWidth="1"/>
    <col min="6" max="6" width="28.28125" style="0" customWidth="1"/>
    <col min="7" max="7" width="24.7109375" style="0" hidden="1" customWidth="1"/>
    <col min="8" max="8" width="24.8515625" style="0" customWidth="1"/>
    <col min="9" max="9" width="24.140625" style="0" customWidth="1"/>
  </cols>
  <sheetData>
    <row r="1" spans="1:3" ht="17.25">
      <c r="A1" s="219" t="s">
        <v>18</v>
      </c>
      <c r="B1" s="220"/>
      <c r="C1" s="220"/>
    </row>
    <row r="2" ht="17.25">
      <c r="A2" s="38"/>
    </row>
    <row r="3" spans="1:2" ht="15">
      <c r="A3" s="5" t="s">
        <v>7</v>
      </c>
      <c r="B3" s="6">
        <v>10</v>
      </c>
    </row>
    <row r="4" spans="1:2" ht="15.75" thickBot="1">
      <c r="A4" s="5" t="s">
        <v>8</v>
      </c>
      <c r="B4" s="7">
        <v>0.1</v>
      </c>
    </row>
    <row r="5" spans="1:9" ht="64.5" customHeight="1" thickBot="1">
      <c r="A5" s="8" t="s">
        <v>9</v>
      </c>
      <c r="B5" s="9" t="s">
        <v>10</v>
      </c>
      <c r="C5" s="10" t="s">
        <v>11</v>
      </c>
      <c r="D5" s="8" t="s">
        <v>4</v>
      </c>
      <c r="E5" s="11" t="s">
        <v>13</v>
      </c>
      <c r="F5" s="8" t="s">
        <v>16</v>
      </c>
      <c r="G5" s="8" t="s">
        <v>14</v>
      </c>
      <c r="H5" s="11" t="str">
        <f>CONCATENATE("Nutidsværdien ved den interne rente (IRR) ",(ROUND(F59,4)*100)," %")</f>
        <v>Nutidsværdien ved den interne rente (IRR) 10,36 %</v>
      </c>
      <c r="I5" s="11" t="s">
        <v>12</v>
      </c>
    </row>
    <row r="6" spans="1:9" ht="17.25">
      <c r="A6" s="16">
        <v>0</v>
      </c>
      <c r="B6" s="34">
        <v>0</v>
      </c>
      <c r="C6" s="14">
        <v>2700000</v>
      </c>
      <c r="D6" s="39">
        <f aca="true" t="shared" si="0" ref="D6:D56">B6-C6</f>
        <v>-2700000</v>
      </c>
      <c r="E6" s="44">
        <f aca="true" t="shared" si="1" ref="E6:E56">IF(A6&lt;=$B$3,POWER((1+$B$4),(A6*-1)),"-")</f>
        <v>1</v>
      </c>
      <c r="F6" s="15">
        <f>D6</f>
        <v>-2700000</v>
      </c>
      <c r="G6" s="44">
        <f>IF(A6&lt;=$B$3,POWER((1+$F$59),(A6*-1)),"-")</f>
        <v>1</v>
      </c>
      <c r="H6" s="15">
        <f>F6</f>
        <v>-2700000</v>
      </c>
      <c r="I6" s="16"/>
    </row>
    <row r="7" spans="1:9" ht="17.25">
      <c r="A7" s="12">
        <f aca="true" t="shared" si="2" ref="A7:A56">A6+1</f>
        <v>1</v>
      </c>
      <c r="B7" s="13">
        <v>400000</v>
      </c>
      <c r="C7" s="17">
        <v>0</v>
      </c>
      <c r="D7" s="40">
        <f t="shared" si="0"/>
        <v>400000</v>
      </c>
      <c r="E7" s="42">
        <f t="shared" si="1"/>
        <v>0.9090909090909091</v>
      </c>
      <c r="F7" s="18">
        <f aca="true" t="shared" si="3" ref="F7:F56">PV($B$4,A7,0,D7)*-1</f>
        <v>363636.3636363636</v>
      </c>
      <c r="G7" s="42">
        <f>IF(A7&lt;=$B$3,POWER((1+$F$59),(A7*-1)),"-")</f>
        <v>0.9061168570302781</v>
      </c>
      <c r="H7" s="18">
        <f aca="true" t="shared" si="4" ref="H7:H56">PV($F$59,A7,0,D7)*-1</f>
        <v>362446.7428121113</v>
      </c>
      <c r="I7" s="18">
        <f>PMT($B$4,$B$3,$F$57)*-1</f>
        <v>7646.479979102178</v>
      </c>
    </row>
    <row r="8" spans="1:9" ht="17.25">
      <c r="A8" s="12">
        <f t="shared" si="2"/>
        <v>2</v>
      </c>
      <c r="B8" s="13">
        <v>400000</v>
      </c>
      <c r="C8" s="17">
        <v>0</v>
      </c>
      <c r="D8" s="40">
        <f t="shared" si="0"/>
        <v>400000</v>
      </c>
      <c r="E8" s="42">
        <f t="shared" si="1"/>
        <v>0.8264462809917354</v>
      </c>
      <c r="F8" s="18">
        <f t="shared" si="3"/>
        <v>330578.51239669416</v>
      </c>
      <c r="G8" s="42">
        <f aca="true" t="shared" si="5" ref="G8:G56">IF(A8&lt;=$B$3,POWER((1+$F$59),(A8*-1)),"-")</f>
        <v>0.8210477585944295</v>
      </c>
      <c r="H8" s="18">
        <f t="shared" si="4"/>
        <v>328419.1034377718</v>
      </c>
      <c r="I8" s="18">
        <f aca="true" t="shared" si="6" ref="I8:I13">IF(A8&lt;=$B$3,$I$7,0)</f>
        <v>7646.479979102178</v>
      </c>
    </row>
    <row r="9" spans="1:9" ht="17.25">
      <c r="A9" s="12">
        <f t="shared" si="2"/>
        <v>3</v>
      </c>
      <c r="B9" s="13">
        <v>400000</v>
      </c>
      <c r="C9" s="17">
        <v>0</v>
      </c>
      <c r="D9" s="40">
        <f t="shared" si="0"/>
        <v>400000</v>
      </c>
      <c r="E9" s="42">
        <f t="shared" si="1"/>
        <v>0.7513148009015775</v>
      </c>
      <c r="F9" s="18">
        <f t="shared" si="3"/>
        <v>300525.920360631</v>
      </c>
      <c r="G9" s="42">
        <f t="shared" si="5"/>
        <v>0.7439652144893389</v>
      </c>
      <c r="H9" s="18">
        <f t="shared" si="4"/>
        <v>297586.0857957356</v>
      </c>
      <c r="I9" s="18">
        <f t="shared" si="6"/>
        <v>7646.479979102178</v>
      </c>
    </row>
    <row r="10" spans="1:9" ht="17.25">
      <c r="A10" s="12">
        <f t="shared" si="2"/>
        <v>4</v>
      </c>
      <c r="B10" s="13">
        <v>400000</v>
      </c>
      <c r="C10" s="17">
        <v>0</v>
      </c>
      <c r="D10" s="40">
        <f t="shared" si="0"/>
        <v>400000</v>
      </c>
      <c r="E10" s="42">
        <f t="shared" si="1"/>
        <v>0.6830134553650705</v>
      </c>
      <c r="F10" s="18">
        <f t="shared" si="3"/>
        <v>273205.3821460282</v>
      </c>
      <c r="G10" s="42">
        <f t="shared" si="5"/>
        <v>0.6741194218929366</v>
      </c>
      <c r="H10" s="18">
        <f t="shared" si="4"/>
        <v>269647.76875717466</v>
      </c>
      <c r="I10" s="18">
        <f t="shared" si="6"/>
        <v>7646.479979102178</v>
      </c>
    </row>
    <row r="11" spans="1:9" ht="17.25">
      <c r="A11" s="12">
        <f t="shared" si="2"/>
        <v>5</v>
      </c>
      <c r="B11" s="13">
        <v>400000</v>
      </c>
      <c r="C11" s="17">
        <v>0</v>
      </c>
      <c r="D11" s="40">
        <f>(B11-C11)</f>
        <v>400000</v>
      </c>
      <c r="E11" s="42">
        <f t="shared" si="1"/>
        <v>0.6209213230591549</v>
      </c>
      <c r="F11" s="18">
        <f t="shared" si="3"/>
        <v>248368.529223662</v>
      </c>
      <c r="G11" s="42">
        <f t="shared" si="5"/>
        <v>0.6108309718286957</v>
      </c>
      <c r="H11" s="18">
        <f t="shared" si="4"/>
        <v>244332.3887314783</v>
      </c>
      <c r="I11" s="18">
        <f t="shared" si="6"/>
        <v>7646.479979102178</v>
      </c>
    </row>
    <row r="12" spans="1:9" ht="17.25">
      <c r="A12" s="12">
        <f t="shared" si="2"/>
        <v>6</v>
      </c>
      <c r="B12" s="13">
        <v>400000</v>
      </c>
      <c r="C12" s="17">
        <v>0</v>
      </c>
      <c r="D12" s="40">
        <f t="shared" si="0"/>
        <v>400000</v>
      </c>
      <c r="E12" s="42">
        <f t="shared" si="1"/>
        <v>0.5644739300537772</v>
      </c>
      <c r="F12" s="18">
        <f t="shared" si="3"/>
        <v>225789.57202151086</v>
      </c>
      <c r="G12" s="42">
        <f t="shared" si="5"/>
        <v>0.5534842403701682</v>
      </c>
      <c r="H12" s="18">
        <f t="shared" si="4"/>
        <v>221393.69614806728</v>
      </c>
      <c r="I12" s="18">
        <f t="shared" si="6"/>
        <v>7646.479979102178</v>
      </c>
    </row>
    <row r="13" spans="1:9" ht="17.25">
      <c r="A13" s="12">
        <f t="shared" si="2"/>
        <v>7</v>
      </c>
      <c r="B13" s="13">
        <v>400000</v>
      </c>
      <c r="C13" s="17">
        <v>0</v>
      </c>
      <c r="D13" s="40">
        <f t="shared" si="0"/>
        <v>400000</v>
      </c>
      <c r="E13" s="42">
        <f t="shared" si="1"/>
        <v>0.5131581182307065</v>
      </c>
      <c r="F13" s="18">
        <f t="shared" si="3"/>
        <v>205263.24729228258</v>
      </c>
      <c r="G13" s="42">
        <f t="shared" si="5"/>
        <v>0.5015214003000078</v>
      </c>
      <c r="H13" s="18">
        <f t="shared" si="4"/>
        <v>200608.56012000312</v>
      </c>
      <c r="I13" s="18">
        <f t="shared" si="6"/>
        <v>7646.479979102178</v>
      </c>
    </row>
    <row r="14" spans="1:11" ht="17.25">
      <c r="A14" s="12">
        <f t="shared" si="2"/>
        <v>8</v>
      </c>
      <c r="B14" s="13">
        <v>400000</v>
      </c>
      <c r="C14" s="17">
        <v>0</v>
      </c>
      <c r="D14" s="40">
        <f t="shared" si="0"/>
        <v>400000</v>
      </c>
      <c r="E14" s="42">
        <f t="shared" si="1"/>
        <v>0.46650738020973315</v>
      </c>
      <c r="F14" s="18">
        <f t="shared" si="3"/>
        <v>186602.95208389327</v>
      </c>
      <c r="G14" s="42">
        <f t="shared" si="5"/>
        <v>0.45443699497326706</v>
      </c>
      <c r="H14" s="18">
        <f t="shared" si="4"/>
        <v>181774.79798930683</v>
      </c>
      <c r="I14" s="18">
        <f aca="true" t="shared" si="7" ref="I14:I56">IF(A13&lt;=$B$3,$I$7,0)</f>
        <v>7646.479979102178</v>
      </c>
      <c r="K14" s="3"/>
    </row>
    <row r="15" spans="1:9" ht="17.25">
      <c r="A15" s="12">
        <f t="shared" si="2"/>
        <v>9</v>
      </c>
      <c r="B15" s="13">
        <v>400000</v>
      </c>
      <c r="C15" s="17">
        <v>0</v>
      </c>
      <c r="D15" s="40">
        <f t="shared" si="0"/>
        <v>400000</v>
      </c>
      <c r="E15" s="42">
        <f t="shared" si="1"/>
        <v>0.42409761837248466</v>
      </c>
      <c r="F15" s="18">
        <f t="shared" si="3"/>
        <v>169639.04734899386</v>
      </c>
      <c r="G15" s="42">
        <f t="shared" si="5"/>
        <v>0.411773021603461</v>
      </c>
      <c r="H15" s="18">
        <f t="shared" si="4"/>
        <v>164709.2086413844</v>
      </c>
      <c r="I15" s="18">
        <f t="shared" si="7"/>
        <v>7646.479979102178</v>
      </c>
    </row>
    <row r="16" spans="1:9" ht="18" thickBot="1">
      <c r="A16" s="12">
        <f t="shared" si="2"/>
        <v>10</v>
      </c>
      <c r="B16" s="13">
        <f>750000+400000</f>
        <v>1150000</v>
      </c>
      <c r="C16" s="17">
        <v>0</v>
      </c>
      <c r="D16" s="40">
        <f t="shared" si="0"/>
        <v>1150000</v>
      </c>
      <c r="E16" s="42">
        <f t="shared" si="1"/>
        <v>0.3855432894295315</v>
      </c>
      <c r="F16" s="18">
        <f t="shared" si="3"/>
        <v>443374.7828439612</v>
      </c>
      <c r="G16" s="42">
        <f t="shared" si="5"/>
        <v>0.37311447614518894</v>
      </c>
      <c r="H16" s="18">
        <f t="shared" si="4"/>
        <v>429081.6475669673</v>
      </c>
      <c r="I16" s="22">
        <f t="shared" si="7"/>
        <v>7646.479979102178</v>
      </c>
    </row>
    <row r="17" spans="1:9" ht="17.25" hidden="1">
      <c r="A17" s="12">
        <f t="shared" si="2"/>
        <v>11</v>
      </c>
      <c r="B17" s="13">
        <v>0</v>
      </c>
      <c r="C17" s="17">
        <v>0</v>
      </c>
      <c r="D17" s="40">
        <f t="shared" si="0"/>
        <v>0</v>
      </c>
      <c r="E17" s="42" t="str">
        <f t="shared" si="1"/>
        <v>-</v>
      </c>
      <c r="F17" s="18">
        <f t="shared" si="3"/>
        <v>0</v>
      </c>
      <c r="G17" s="42" t="str">
        <f t="shared" si="5"/>
        <v>-</v>
      </c>
      <c r="H17" s="18">
        <f t="shared" si="4"/>
        <v>0</v>
      </c>
      <c r="I17" s="18">
        <f t="shared" si="7"/>
        <v>7646.479979102178</v>
      </c>
    </row>
    <row r="18" spans="1:9" ht="17.25" hidden="1">
      <c r="A18" s="12">
        <f t="shared" si="2"/>
        <v>12</v>
      </c>
      <c r="B18" s="13">
        <v>0</v>
      </c>
      <c r="C18" s="17">
        <v>0</v>
      </c>
      <c r="D18" s="40">
        <f t="shared" si="0"/>
        <v>0</v>
      </c>
      <c r="E18" s="42" t="str">
        <f t="shared" si="1"/>
        <v>-</v>
      </c>
      <c r="F18" s="18">
        <f t="shared" si="3"/>
        <v>0</v>
      </c>
      <c r="G18" s="42" t="str">
        <f t="shared" si="5"/>
        <v>-</v>
      </c>
      <c r="H18" s="18">
        <f t="shared" si="4"/>
        <v>0</v>
      </c>
      <c r="I18" s="18">
        <f t="shared" si="7"/>
        <v>0</v>
      </c>
    </row>
    <row r="19" spans="1:11" ht="17.25" hidden="1">
      <c r="A19" s="12">
        <f t="shared" si="2"/>
        <v>13</v>
      </c>
      <c r="B19" s="13">
        <v>0</v>
      </c>
      <c r="C19" s="17">
        <v>0</v>
      </c>
      <c r="D19" s="40">
        <f t="shared" si="0"/>
        <v>0</v>
      </c>
      <c r="E19" s="42" t="str">
        <f t="shared" si="1"/>
        <v>-</v>
      </c>
      <c r="F19" s="18">
        <f t="shared" si="3"/>
        <v>0</v>
      </c>
      <c r="G19" s="42" t="str">
        <f t="shared" si="5"/>
        <v>-</v>
      </c>
      <c r="H19" s="18">
        <f t="shared" si="4"/>
        <v>0</v>
      </c>
      <c r="I19" s="18">
        <f t="shared" si="7"/>
        <v>0</v>
      </c>
      <c r="K19" s="3"/>
    </row>
    <row r="20" spans="1:9" ht="17.25" hidden="1">
      <c r="A20" s="12">
        <f t="shared" si="2"/>
        <v>14</v>
      </c>
      <c r="B20" s="13">
        <v>0</v>
      </c>
      <c r="C20" s="17">
        <v>0</v>
      </c>
      <c r="D20" s="40">
        <f t="shared" si="0"/>
        <v>0</v>
      </c>
      <c r="E20" s="42" t="str">
        <f t="shared" si="1"/>
        <v>-</v>
      </c>
      <c r="F20" s="18">
        <f t="shared" si="3"/>
        <v>0</v>
      </c>
      <c r="G20" s="42" t="str">
        <f t="shared" si="5"/>
        <v>-</v>
      </c>
      <c r="H20" s="18">
        <f t="shared" si="4"/>
        <v>0</v>
      </c>
      <c r="I20" s="18">
        <f t="shared" si="7"/>
        <v>0</v>
      </c>
    </row>
    <row r="21" spans="1:9" ht="18" hidden="1" thickBot="1">
      <c r="A21" s="19">
        <f t="shared" si="2"/>
        <v>15</v>
      </c>
      <c r="B21" s="20">
        <v>0</v>
      </c>
      <c r="C21" s="21">
        <v>0</v>
      </c>
      <c r="D21" s="41">
        <f t="shared" si="0"/>
        <v>0</v>
      </c>
      <c r="E21" s="45" t="str">
        <f t="shared" si="1"/>
        <v>-</v>
      </c>
      <c r="F21" s="22">
        <f t="shared" si="3"/>
        <v>0</v>
      </c>
      <c r="G21" s="45" t="str">
        <f t="shared" si="5"/>
        <v>-</v>
      </c>
      <c r="H21" s="22">
        <f t="shared" si="4"/>
        <v>0</v>
      </c>
      <c r="I21" s="22">
        <f t="shared" si="7"/>
        <v>0</v>
      </c>
    </row>
    <row r="22" spans="1:9" ht="17.25" hidden="1">
      <c r="A22" s="12">
        <f t="shared" si="2"/>
        <v>16</v>
      </c>
      <c r="B22" s="13">
        <v>0</v>
      </c>
      <c r="C22" s="17">
        <v>0</v>
      </c>
      <c r="D22" s="40">
        <f t="shared" si="0"/>
        <v>0</v>
      </c>
      <c r="E22" s="42" t="str">
        <f t="shared" si="1"/>
        <v>-</v>
      </c>
      <c r="F22" s="18">
        <f t="shared" si="3"/>
        <v>0</v>
      </c>
      <c r="G22" s="42" t="str">
        <f t="shared" si="5"/>
        <v>-</v>
      </c>
      <c r="H22" s="18">
        <f t="shared" si="4"/>
        <v>0</v>
      </c>
      <c r="I22" s="18">
        <f t="shared" si="7"/>
        <v>0</v>
      </c>
    </row>
    <row r="23" spans="1:9" ht="17.25" hidden="1">
      <c r="A23" s="12">
        <f t="shared" si="2"/>
        <v>17</v>
      </c>
      <c r="B23" s="13">
        <v>0</v>
      </c>
      <c r="C23" s="17">
        <v>0</v>
      </c>
      <c r="D23" s="40">
        <f t="shared" si="0"/>
        <v>0</v>
      </c>
      <c r="E23" s="42" t="str">
        <f t="shared" si="1"/>
        <v>-</v>
      </c>
      <c r="F23" s="18">
        <f t="shared" si="3"/>
        <v>0</v>
      </c>
      <c r="G23" s="42" t="str">
        <f t="shared" si="5"/>
        <v>-</v>
      </c>
      <c r="H23" s="18">
        <f t="shared" si="4"/>
        <v>0</v>
      </c>
      <c r="I23" s="18">
        <f t="shared" si="7"/>
        <v>0</v>
      </c>
    </row>
    <row r="24" spans="1:9" ht="17.25" hidden="1">
      <c r="A24" s="12">
        <f t="shared" si="2"/>
        <v>18</v>
      </c>
      <c r="B24" s="13">
        <v>0</v>
      </c>
      <c r="C24" s="17">
        <v>0</v>
      </c>
      <c r="D24" s="40">
        <f t="shared" si="0"/>
        <v>0</v>
      </c>
      <c r="E24" s="42" t="str">
        <f t="shared" si="1"/>
        <v>-</v>
      </c>
      <c r="F24" s="18">
        <f t="shared" si="3"/>
        <v>0</v>
      </c>
      <c r="G24" s="42" t="str">
        <f t="shared" si="5"/>
        <v>-</v>
      </c>
      <c r="H24" s="18">
        <f t="shared" si="4"/>
        <v>0</v>
      </c>
      <c r="I24" s="18">
        <f t="shared" si="7"/>
        <v>0</v>
      </c>
    </row>
    <row r="25" spans="1:9" ht="17.25" hidden="1">
      <c r="A25" s="12">
        <f t="shared" si="2"/>
        <v>19</v>
      </c>
      <c r="B25" s="13">
        <v>0</v>
      </c>
      <c r="C25" s="17">
        <v>0</v>
      </c>
      <c r="D25" s="40">
        <f t="shared" si="0"/>
        <v>0</v>
      </c>
      <c r="E25" s="42" t="str">
        <f t="shared" si="1"/>
        <v>-</v>
      </c>
      <c r="F25" s="18">
        <f t="shared" si="3"/>
        <v>0</v>
      </c>
      <c r="G25" s="42" t="str">
        <f t="shared" si="5"/>
        <v>-</v>
      </c>
      <c r="H25" s="18">
        <f t="shared" si="4"/>
        <v>0</v>
      </c>
      <c r="I25" s="18">
        <f t="shared" si="7"/>
        <v>0</v>
      </c>
    </row>
    <row r="26" spans="1:9" ht="17.25" hidden="1">
      <c r="A26" s="12">
        <f t="shared" si="2"/>
        <v>20</v>
      </c>
      <c r="B26" s="13">
        <v>0</v>
      </c>
      <c r="C26" s="17">
        <v>0</v>
      </c>
      <c r="D26" s="40">
        <f t="shared" si="0"/>
        <v>0</v>
      </c>
      <c r="E26" s="42" t="str">
        <f t="shared" si="1"/>
        <v>-</v>
      </c>
      <c r="F26" s="18">
        <f t="shared" si="3"/>
        <v>0</v>
      </c>
      <c r="G26" s="42" t="str">
        <f t="shared" si="5"/>
        <v>-</v>
      </c>
      <c r="H26" s="18">
        <f t="shared" si="4"/>
        <v>0</v>
      </c>
      <c r="I26" s="18">
        <f t="shared" si="7"/>
        <v>0</v>
      </c>
    </row>
    <row r="27" spans="1:9" ht="17.25" hidden="1">
      <c r="A27" s="12">
        <f t="shared" si="2"/>
        <v>21</v>
      </c>
      <c r="B27" s="13">
        <v>0</v>
      </c>
      <c r="C27" s="17">
        <v>0</v>
      </c>
      <c r="D27" s="40">
        <f t="shared" si="0"/>
        <v>0</v>
      </c>
      <c r="E27" s="42" t="str">
        <f t="shared" si="1"/>
        <v>-</v>
      </c>
      <c r="F27" s="18">
        <f t="shared" si="3"/>
        <v>0</v>
      </c>
      <c r="G27" s="42" t="str">
        <f t="shared" si="5"/>
        <v>-</v>
      </c>
      <c r="H27" s="18">
        <f t="shared" si="4"/>
        <v>0</v>
      </c>
      <c r="I27" s="18">
        <f t="shared" si="7"/>
        <v>0</v>
      </c>
    </row>
    <row r="28" spans="1:9" ht="17.25" hidden="1">
      <c r="A28" s="12">
        <f t="shared" si="2"/>
        <v>22</v>
      </c>
      <c r="B28" s="13">
        <v>0</v>
      </c>
      <c r="C28" s="17">
        <v>0</v>
      </c>
      <c r="D28" s="40">
        <f t="shared" si="0"/>
        <v>0</v>
      </c>
      <c r="E28" s="42" t="str">
        <f t="shared" si="1"/>
        <v>-</v>
      </c>
      <c r="F28" s="18">
        <f t="shared" si="3"/>
        <v>0</v>
      </c>
      <c r="G28" s="42" t="str">
        <f t="shared" si="5"/>
        <v>-</v>
      </c>
      <c r="H28" s="18">
        <f t="shared" si="4"/>
        <v>0</v>
      </c>
      <c r="I28" s="18">
        <f t="shared" si="7"/>
        <v>0</v>
      </c>
    </row>
    <row r="29" spans="1:9" ht="17.25" hidden="1">
      <c r="A29" s="12">
        <f t="shared" si="2"/>
        <v>23</v>
      </c>
      <c r="B29" s="13">
        <v>0</v>
      </c>
      <c r="C29" s="17">
        <v>0</v>
      </c>
      <c r="D29" s="40">
        <f t="shared" si="0"/>
        <v>0</v>
      </c>
      <c r="E29" s="42" t="str">
        <f t="shared" si="1"/>
        <v>-</v>
      </c>
      <c r="F29" s="18">
        <f t="shared" si="3"/>
        <v>0</v>
      </c>
      <c r="G29" s="42" t="str">
        <f t="shared" si="5"/>
        <v>-</v>
      </c>
      <c r="H29" s="18">
        <f t="shared" si="4"/>
        <v>0</v>
      </c>
      <c r="I29" s="18">
        <f t="shared" si="7"/>
        <v>0</v>
      </c>
    </row>
    <row r="30" spans="1:9" ht="17.25" hidden="1">
      <c r="A30" s="12">
        <f t="shared" si="2"/>
        <v>24</v>
      </c>
      <c r="B30" s="13">
        <v>0</v>
      </c>
      <c r="C30" s="17">
        <v>0</v>
      </c>
      <c r="D30" s="40">
        <f t="shared" si="0"/>
        <v>0</v>
      </c>
      <c r="E30" s="42" t="str">
        <f t="shared" si="1"/>
        <v>-</v>
      </c>
      <c r="F30" s="18">
        <f t="shared" si="3"/>
        <v>0</v>
      </c>
      <c r="G30" s="42" t="str">
        <f t="shared" si="5"/>
        <v>-</v>
      </c>
      <c r="H30" s="18">
        <f t="shared" si="4"/>
        <v>0</v>
      </c>
      <c r="I30" s="18">
        <f t="shared" si="7"/>
        <v>0</v>
      </c>
    </row>
    <row r="31" spans="1:9" ht="17.25" hidden="1">
      <c r="A31" s="12">
        <f t="shared" si="2"/>
        <v>25</v>
      </c>
      <c r="B31" s="13">
        <v>0</v>
      </c>
      <c r="C31" s="17">
        <v>0</v>
      </c>
      <c r="D31" s="40">
        <f t="shared" si="0"/>
        <v>0</v>
      </c>
      <c r="E31" s="42" t="str">
        <f t="shared" si="1"/>
        <v>-</v>
      </c>
      <c r="F31" s="18">
        <f t="shared" si="3"/>
        <v>0</v>
      </c>
      <c r="G31" s="42" t="str">
        <f t="shared" si="5"/>
        <v>-</v>
      </c>
      <c r="H31" s="18">
        <f t="shared" si="4"/>
        <v>0</v>
      </c>
      <c r="I31" s="18">
        <f t="shared" si="7"/>
        <v>0</v>
      </c>
    </row>
    <row r="32" spans="1:9" ht="17.25" hidden="1">
      <c r="A32" s="12">
        <f t="shared" si="2"/>
        <v>26</v>
      </c>
      <c r="B32" s="13">
        <v>0</v>
      </c>
      <c r="C32" s="17">
        <v>0</v>
      </c>
      <c r="D32" s="40">
        <f t="shared" si="0"/>
        <v>0</v>
      </c>
      <c r="E32" s="42" t="str">
        <f t="shared" si="1"/>
        <v>-</v>
      </c>
      <c r="F32" s="18">
        <f t="shared" si="3"/>
        <v>0</v>
      </c>
      <c r="G32" s="42" t="str">
        <f t="shared" si="5"/>
        <v>-</v>
      </c>
      <c r="H32" s="18">
        <f t="shared" si="4"/>
        <v>0</v>
      </c>
      <c r="I32" s="18">
        <f t="shared" si="7"/>
        <v>0</v>
      </c>
    </row>
    <row r="33" spans="1:9" ht="17.25" hidden="1">
      <c r="A33" s="12">
        <f t="shared" si="2"/>
        <v>27</v>
      </c>
      <c r="B33" s="13">
        <v>0</v>
      </c>
      <c r="C33" s="17">
        <v>0</v>
      </c>
      <c r="D33" s="40">
        <f t="shared" si="0"/>
        <v>0</v>
      </c>
      <c r="E33" s="42" t="str">
        <f t="shared" si="1"/>
        <v>-</v>
      </c>
      <c r="F33" s="18">
        <f t="shared" si="3"/>
        <v>0</v>
      </c>
      <c r="G33" s="42" t="str">
        <f t="shared" si="5"/>
        <v>-</v>
      </c>
      <c r="H33" s="18">
        <f t="shared" si="4"/>
        <v>0</v>
      </c>
      <c r="I33" s="18">
        <f t="shared" si="7"/>
        <v>0</v>
      </c>
    </row>
    <row r="34" spans="1:9" ht="17.25" hidden="1">
      <c r="A34" s="12">
        <f t="shared" si="2"/>
        <v>28</v>
      </c>
      <c r="B34" s="13">
        <v>0</v>
      </c>
      <c r="C34" s="17">
        <v>0</v>
      </c>
      <c r="D34" s="40">
        <f t="shared" si="0"/>
        <v>0</v>
      </c>
      <c r="E34" s="42" t="str">
        <f t="shared" si="1"/>
        <v>-</v>
      </c>
      <c r="F34" s="18">
        <f t="shared" si="3"/>
        <v>0</v>
      </c>
      <c r="G34" s="42" t="str">
        <f t="shared" si="5"/>
        <v>-</v>
      </c>
      <c r="H34" s="18">
        <f t="shared" si="4"/>
        <v>0</v>
      </c>
      <c r="I34" s="18">
        <f t="shared" si="7"/>
        <v>0</v>
      </c>
    </row>
    <row r="35" spans="1:9" ht="17.25" hidden="1">
      <c r="A35" s="12">
        <f t="shared" si="2"/>
        <v>29</v>
      </c>
      <c r="B35" s="13">
        <v>0</v>
      </c>
      <c r="C35" s="17">
        <v>0</v>
      </c>
      <c r="D35" s="40">
        <f t="shared" si="0"/>
        <v>0</v>
      </c>
      <c r="E35" s="42" t="str">
        <f t="shared" si="1"/>
        <v>-</v>
      </c>
      <c r="F35" s="18">
        <f t="shared" si="3"/>
        <v>0</v>
      </c>
      <c r="G35" s="42" t="str">
        <f t="shared" si="5"/>
        <v>-</v>
      </c>
      <c r="H35" s="18">
        <f t="shared" si="4"/>
        <v>0</v>
      </c>
      <c r="I35" s="18">
        <f t="shared" si="7"/>
        <v>0</v>
      </c>
    </row>
    <row r="36" spans="1:9" ht="17.25" hidden="1">
      <c r="A36" s="12">
        <f t="shared" si="2"/>
        <v>30</v>
      </c>
      <c r="B36" s="13">
        <v>0</v>
      </c>
      <c r="C36" s="17">
        <v>0</v>
      </c>
      <c r="D36" s="40">
        <f t="shared" si="0"/>
        <v>0</v>
      </c>
      <c r="E36" s="42" t="str">
        <f t="shared" si="1"/>
        <v>-</v>
      </c>
      <c r="F36" s="18">
        <f t="shared" si="3"/>
        <v>0</v>
      </c>
      <c r="G36" s="42" t="str">
        <f t="shared" si="5"/>
        <v>-</v>
      </c>
      <c r="H36" s="18">
        <f t="shared" si="4"/>
        <v>0</v>
      </c>
      <c r="I36" s="18">
        <f t="shared" si="7"/>
        <v>0</v>
      </c>
    </row>
    <row r="37" spans="1:9" ht="17.25" hidden="1">
      <c r="A37" s="12">
        <f t="shared" si="2"/>
        <v>31</v>
      </c>
      <c r="B37" s="13">
        <v>0</v>
      </c>
      <c r="C37" s="17">
        <v>0</v>
      </c>
      <c r="D37" s="40">
        <f t="shared" si="0"/>
        <v>0</v>
      </c>
      <c r="E37" s="42" t="str">
        <f t="shared" si="1"/>
        <v>-</v>
      </c>
      <c r="F37" s="18">
        <f t="shared" si="3"/>
        <v>0</v>
      </c>
      <c r="G37" s="42" t="str">
        <f t="shared" si="5"/>
        <v>-</v>
      </c>
      <c r="H37" s="18">
        <f t="shared" si="4"/>
        <v>0</v>
      </c>
      <c r="I37" s="18">
        <f t="shared" si="7"/>
        <v>0</v>
      </c>
    </row>
    <row r="38" spans="1:9" ht="17.25" hidden="1">
      <c r="A38" s="12">
        <f t="shared" si="2"/>
        <v>32</v>
      </c>
      <c r="B38" s="13">
        <v>0</v>
      </c>
      <c r="C38" s="17">
        <v>0</v>
      </c>
      <c r="D38" s="40">
        <f t="shared" si="0"/>
        <v>0</v>
      </c>
      <c r="E38" s="42" t="str">
        <f t="shared" si="1"/>
        <v>-</v>
      </c>
      <c r="F38" s="18">
        <f t="shared" si="3"/>
        <v>0</v>
      </c>
      <c r="G38" s="42" t="str">
        <f t="shared" si="5"/>
        <v>-</v>
      </c>
      <c r="H38" s="18">
        <f t="shared" si="4"/>
        <v>0</v>
      </c>
      <c r="I38" s="18">
        <f t="shared" si="7"/>
        <v>0</v>
      </c>
    </row>
    <row r="39" spans="1:9" ht="17.25" hidden="1">
      <c r="A39" s="12">
        <f t="shared" si="2"/>
        <v>33</v>
      </c>
      <c r="B39" s="13">
        <v>0</v>
      </c>
      <c r="C39" s="17">
        <v>0</v>
      </c>
      <c r="D39" s="40">
        <f t="shared" si="0"/>
        <v>0</v>
      </c>
      <c r="E39" s="42" t="str">
        <f t="shared" si="1"/>
        <v>-</v>
      </c>
      <c r="F39" s="18">
        <f t="shared" si="3"/>
        <v>0</v>
      </c>
      <c r="G39" s="42" t="str">
        <f t="shared" si="5"/>
        <v>-</v>
      </c>
      <c r="H39" s="18">
        <f t="shared" si="4"/>
        <v>0</v>
      </c>
      <c r="I39" s="18">
        <f t="shared" si="7"/>
        <v>0</v>
      </c>
    </row>
    <row r="40" spans="1:9" ht="17.25" hidden="1">
      <c r="A40" s="12">
        <f t="shared" si="2"/>
        <v>34</v>
      </c>
      <c r="B40" s="13">
        <v>0</v>
      </c>
      <c r="C40" s="17">
        <v>0</v>
      </c>
      <c r="D40" s="40">
        <f t="shared" si="0"/>
        <v>0</v>
      </c>
      <c r="E40" s="42" t="str">
        <f t="shared" si="1"/>
        <v>-</v>
      </c>
      <c r="F40" s="18">
        <f t="shared" si="3"/>
        <v>0</v>
      </c>
      <c r="G40" s="42" t="str">
        <f t="shared" si="5"/>
        <v>-</v>
      </c>
      <c r="H40" s="18">
        <f t="shared" si="4"/>
        <v>0</v>
      </c>
      <c r="I40" s="18">
        <f t="shared" si="7"/>
        <v>0</v>
      </c>
    </row>
    <row r="41" spans="1:9" ht="17.25" hidden="1">
      <c r="A41" s="12">
        <f t="shared" si="2"/>
        <v>35</v>
      </c>
      <c r="B41" s="13">
        <v>0</v>
      </c>
      <c r="C41" s="17">
        <v>0</v>
      </c>
      <c r="D41" s="40">
        <f t="shared" si="0"/>
        <v>0</v>
      </c>
      <c r="E41" s="42" t="str">
        <f t="shared" si="1"/>
        <v>-</v>
      </c>
      <c r="F41" s="18">
        <f t="shared" si="3"/>
        <v>0</v>
      </c>
      <c r="G41" s="42" t="str">
        <f t="shared" si="5"/>
        <v>-</v>
      </c>
      <c r="H41" s="18">
        <f t="shared" si="4"/>
        <v>0</v>
      </c>
      <c r="I41" s="18">
        <f t="shared" si="7"/>
        <v>0</v>
      </c>
    </row>
    <row r="42" spans="1:9" ht="17.25" hidden="1">
      <c r="A42" s="12">
        <f t="shared" si="2"/>
        <v>36</v>
      </c>
      <c r="B42" s="13">
        <v>0</v>
      </c>
      <c r="C42" s="17">
        <v>0</v>
      </c>
      <c r="D42" s="40">
        <f t="shared" si="0"/>
        <v>0</v>
      </c>
      <c r="E42" s="42" t="str">
        <f t="shared" si="1"/>
        <v>-</v>
      </c>
      <c r="F42" s="18">
        <f t="shared" si="3"/>
        <v>0</v>
      </c>
      <c r="G42" s="42" t="str">
        <f t="shared" si="5"/>
        <v>-</v>
      </c>
      <c r="H42" s="18">
        <f t="shared" si="4"/>
        <v>0</v>
      </c>
      <c r="I42" s="18">
        <f t="shared" si="7"/>
        <v>0</v>
      </c>
    </row>
    <row r="43" spans="1:9" ht="17.25" hidden="1">
      <c r="A43" s="12">
        <f t="shared" si="2"/>
        <v>37</v>
      </c>
      <c r="B43" s="13">
        <v>0</v>
      </c>
      <c r="C43" s="17">
        <v>0</v>
      </c>
      <c r="D43" s="40">
        <f t="shared" si="0"/>
        <v>0</v>
      </c>
      <c r="E43" s="42" t="str">
        <f t="shared" si="1"/>
        <v>-</v>
      </c>
      <c r="F43" s="18">
        <f t="shared" si="3"/>
        <v>0</v>
      </c>
      <c r="G43" s="42" t="str">
        <f t="shared" si="5"/>
        <v>-</v>
      </c>
      <c r="H43" s="18">
        <f t="shared" si="4"/>
        <v>0</v>
      </c>
      <c r="I43" s="18">
        <f t="shared" si="7"/>
        <v>0</v>
      </c>
    </row>
    <row r="44" spans="1:9" ht="17.25" hidden="1">
      <c r="A44" s="12">
        <f t="shared" si="2"/>
        <v>38</v>
      </c>
      <c r="B44" s="13">
        <v>0</v>
      </c>
      <c r="C44" s="17">
        <v>0</v>
      </c>
      <c r="D44" s="40">
        <f t="shared" si="0"/>
        <v>0</v>
      </c>
      <c r="E44" s="42" t="str">
        <f t="shared" si="1"/>
        <v>-</v>
      </c>
      <c r="F44" s="18">
        <f t="shared" si="3"/>
        <v>0</v>
      </c>
      <c r="G44" s="42" t="str">
        <f t="shared" si="5"/>
        <v>-</v>
      </c>
      <c r="H44" s="18">
        <f t="shared" si="4"/>
        <v>0</v>
      </c>
      <c r="I44" s="18">
        <f t="shared" si="7"/>
        <v>0</v>
      </c>
    </row>
    <row r="45" spans="1:9" ht="17.25" hidden="1">
      <c r="A45" s="12">
        <f t="shared" si="2"/>
        <v>39</v>
      </c>
      <c r="B45" s="13">
        <v>0</v>
      </c>
      <c r="C45" s="17">
        <v>0</v>
      </c>
      <c r="D45" s="40">
        <f t="shared" si="0"/>
        <v>0</v>
      </c>
      <c r="E45" s="42" t="str">
        <f t="shared" si="1"/>
        <v>-</v>
      </c>
      <c r="F45" s="18">
        <f t="shared" si="3"/>
        <v>0</v>
      </c>
      <c r="G45" s="42" t="str">
        <f t="shared" si="5"/>
        <v>-</v>
      </c>
      <c r="H45" s="18">
        <f t="shared" si="4"/>
        <v>0</v>
      </c>
      <c r="I45" s="18">
        <f t="shared" si="7"/>
        <v>0</v>
      </c>
    </row>
    <row r="46" spans="1:9" ht="17.25" hidden="1">
      <c r="A46" s="12">
        <f t="shared" si="2"/>
        <v>40</v>
      </c>
      <c r="B46" s="13">
        <v>0</v>
      </c>
      <c r="C46" s="17">
        <v>0</v>
      </c>
      <c r="D46" s="40">
        <f t="shared" si="0"/>
        <v>0</v>
      </c>
      <c r="E46" s="42" t="str">
        <f t="shared" si="1"/>
        <v>-</v>
      </c>
      <c r="F46" s="18">
        <f t="shared" si="3"/>
        <v>0</v>
      </c>
      <c r="G46" s="42" t="str">
        <f t="shared" si="5"/>
        <v>-</v>
      </c>
      <c r="H46" s="18">
        <f t="shared" si="4"/>
        <v>0</v>
      </c>
      <c r="I46" s="18">
        <f t="shared" si="7"/>
        <v>0</v>
      </c>
    </row>
    <row r="47" spans="1:9" ht="17.25" hidden="1">
      <c r="A47" s="12">
        <f t="shared" si="2"/>
        <v>41</v>
      </c>
      <c r="B47" s="13">
        <v>0</v>
      </c>
      <c r="C47" s="17">
        <v>0</v>
      </c>
      <c r="D47" s="40">
        <f t="shared" si="0"/>
        <v>0</v>
      </c>
      <c r="E47" s="42" t="str">
        <f t="shared" si="1"/>
        <v>-</v>
      </c>
      <c r="F47" s="18">
        <f t="shared" si="3"/>
        <v>0</v>
      </c>
      <c r="G47" s="42" t="str">
        <f t="shared" si="5"/>
        <v>-</v>
      </c>
      <c r="H47" s="18">
        <f t="shared" si="4"/>
        <v>0</v>
      </c>
      <c r="I47" s="18">
        <f t="shared" si="7"/>
        <v>0</v>
      </c>
    </row>
    <row r="48" spans="1:9" ht="17.25" hidden="1">
      <c r="A48" s="12">
        <f t="shared" si="2"/>
        <v>42</v>
      </c>
      <c r="B48" s="13">
        <v>0</v>
      </c>
      <c r="C48" s="17">
        <v>0</v>
      </c>
      <c r="D48" s="40">
        <f t="shared" si="0"/>
        <v>0</v>
      </c>
      <c r="E48" s="42" t="str">
        <f t="shared" si="1"/>
        <v>-</v>
      </c>
      <c r="F48" s="18">
        <f t="shared" si="3"/>
        <v>0</v>
      </c>
      <c r="G48" s="42" t="str">
        <f t="shared" si="5"/>
        <v>-</v>
      </c>
      <c r="H48" s="18">
        <f t="shared" si="4"/>
        <v>0</v>
      </c>
      <c r="I48" s="18">
        <f t="shared" si="7"/>
        <v>0</v>
      </c>
    </row>
    <row r="49" spans="1:9" ht="17.25" hidden="1">
      <c r="A49" s="12">
        <f t="shared" si="2"/>
        <v>43</v>
      </c>
      <c r="B49" s="13">
        <v>0</v>
      </c>
      <c r="C49" s="17">
        <v>0</v>
      </c>
      <c r="D49" s="40">
        <f t="shared" si="0"/>
        <v>0</v>
      </c>
      <c r="E49" s="42" t="str">
        <f t="shared" si="1"/>
        <v>-</v>
      </c>
      <c r="F49" s="18">
        <f t="shared" si="3"/>
        <v>0</v>
      </c>
      <c r="G49" s="42" t="str">
        <f t="shared" si="5"/>
        <v>-</v>
      </c>
      <c r="H49" s="18">
        <f t="shared" si="4"/>
        <v>0</v>
      </c>
      <c r="I49" s="18">
        <f t="shared" si="7"/>
        <v>0</v>
      </c>
    </row>
    <row r="50" spans="1:9" ht="17.25" hidden="1">
      <c r="A50" s="12">
        <f t="shared" si="2"/>
        <v>44</v>
      </c>
      <c r="B50" s="13">
        <v>0</v>
      </c>
      <c r="C50" s="17">
        <v>0</v>
      </c>
      <c r="D50" s="40">
        <f t="shared" si="0"/>
        <v>0</v>
      </c>
      <c r="E50" s="42" t="str">
        <f t="shared" si="1"/>
        <v>-</v>
      </c>
      <c r="F50" s="18">
        <f t="shared" si="3"/>
        <v>0</v>
      </c>
      <c r="G50" s="42" t="str">
        <f t="shared" si="5"/>
        <v>-</v>
      </c>
      <c r="H50" s="18">
        <f t="shared" si="4"/>
        <v>0</v>
      </c>
      <c r="I50" s="18">
        <f t="shared" si="7"/>
        <v>0</v>
      </c>
    </row>
    <row r="51" spans="1:9" ht="17.25" hidden="1">
      <c r="A51" s="12">
        <f t="shared" si="2"/>
        <v>45</v>
      </c>
      <c r="B51" s="13">
        <v>0</v>
      </c>
      <c r="C51" s="17">
        <v>0</v>
      </c>
      <c r="D51" s="40">
        <f t="shared" si="0"/>
        <v>0</v>
      </c>
      <c r="E51" s="42" t="str">
        <f t="shared" si="1"/>
        <v>-</v>
      </c>
      <c r="F51" s="18">
        <f t="shared" si="3"/>
        <v>0</v>
      </c>
      <c r="G51" s="42" t="str">
        <f t="shared" si="5"/>
        <v>-</v>
      </c>
      <c r="H51" s="18">
        <f t="shared" si="4"/>
        <v>0</v>
      </c>
      <c r="I51" s="18">
        <f t="shared" si="7"/>
        <v>0</v>
      </c>
    </row>
    <row r="52" spans="1:9" ht="17.25" hidden="1">
      <c r="A52" s="12">
        <f t="shared" si="2"/>
        <v>46</v>
      </c>
      <c r="B52" s="13">
        <v>0</v>
      </c>
      <c r="C52" s="17">
        <v>0</v>
      </c>
      <c r="D52" s="40">
        <f t="shared" si="0"/>
        <v>0</v>
      </c>
      <c r="E52" s="42" t="str">
        <f t="shared" si="1"/>
        <v>-</v>
      </c>
      <c r="F52" s="18">
        <f t="shared" si="3"/>
        <v>0</v>
      </c>
      <c r="G52" s="42" t="str">
        <f t="shared" si="5"/>
        <v>-</v>
      </c>
      <c r="H52" s="18">
        <f t="shared" si="4"/>
        <v>0</v>
      </c>
      <c r="I52" s="18">
        <f t="shared" si="7"/>
        <v>0</v>
      </c>
    </row>
    <row r="53" spans="1:9" ht="17.25" hidden="1">
      <c r="A53" s="12">
        <f t="shared" si="2"/>
        <v>47</v>
      </c>
      <c r="B53" s="13">
        <v>0</v>
      </c>
      <c r="C53" s="17">
        <v>0</v>
      </c>
      <c r="D53" s="40">
        <f t="shared" si="0"/>
        <v>0</v>
      </c>
      <c r="E53" s="42" t="str">
        <f t="shared" si="1"/>
        <v>-</v>
      </c>
      <c r="F53" s="18">
        <f t="shared" si="3"/>
        <v>0</v>
      </c>
      <c r="G53" s="42" t="str">
        <f t="shared" si="5"/>
        <v>-</v>
      </c>
      <c r="H53" s="18">
        <f t="shared" si="4"/>
        <v>0</v>
      </c>
      <c r="I53" s="18">
        <f t="shared" si="7"/>
        <v>0</v>
      </c>
    </row>
    <row r="54" spans="1:9" ht="17.25" hidden="1">
      <c r="A54" s="12">
        <f t="shared" si="2"/>
        <v>48</v>
      </c>
      <c r="B54" s="13">
        <v>0</v>
      </c>
      <c r="C54" s="17">
        <v>0</v>
      </c>
      <c r="D54" s="40">
        <f t="shared" si="0"/>
        <v>0</v>
      </c>
      <c r="E54" s="42" t="str">
        <f t="shared" si="1"/>
        <v>-</v>
      </c>
      <c r="F54" s="18">
        <f t="shared" si="3"/>
        <v>0</v>
      </c>
      <c r="G54" s="42" t="str">
        <f t="shared" si="5"/>
        <v>-</v>
      </c>
      <c r="H54" s="18">
        <f t="shared" si="4"/>
        <v>0</v>
      </c>
      <c r="I54" s="18">
        <f t="shared" si="7"/>
        <v>0</v>
      </c>
    </row>
    <row r="55" spans="1:9" ht="17.25" hidden="1">
      <c r="A55" s="12">
        <f t="shared" si="2"/>
        <v>49</v>
      </c>
      <c r="B55" s="13">
        <v>0</v>
      </c>
      <c r="C55" s="17">
        <v>0</v>
      </c>
      <c r="D55" s="40">
        <f t="shared" si="0"/>
        <v>0</v>
      </c>
      <c r="E55" s="42" t="str">
        <f t="shared" si="1"/>
        <v>-</v>
      </c>
      <c r="F55" s="18">
        <f t="shared" si="3"/>
        <v>0</v>
      </c>
      <c r="G55" s="42" t="str">
        <f t="shared" si="5"/>
        <v>-</v>
      </c>
      <c r="H55" s="18">
        <f t="shared" si="4"/>
        <v>0</v>
      </c>
      <c r="I55" s="18">
        <f t="shared" si="7"/>
        <v>0</v>
      </c>
    </row>
    <row r="56" spans="1:9" ht="18" hidden="1" thickBot="1">
      <c r="A56" s="19">
        <f t="shared" si="2"/>
        <v>50</v>
      </c>
      <c r="B56" s="20">
        <v>0</v>
      </c>
      <c r="C56" s="21">
        <v>0</v>
      </c>
      <c r="D56" s="41">
        <f t="shared" si="0"/>
        <v>0</v>
      </c>
      <c r="E56" s="45" t="str">
        <f t="shared" si="1"/>
        <v>-</v>
      </c>
      <c r="F56" s="22">
        <f t="shared" si="3"/>
        <v>0</v>
      </c>
      <c r="G56" s="45" t="str">
        <f t="shared" si="5"/>
        <v>-</v>
      </c>
      <c r="H56" s="22">
        <f t="shared" si="4"/>
        <v>0</v>
      </c>
      <c r="I56" s="22">
        <f t="shared" si="7"/>
        <v>0</v>
      </c>
    </row>
    <row r="57" spans="1:9" ht="18" thickBot="1">
      <c r="A57" s="28" t="s">
        <v>0</v>
      </c>
      <c r="B57" s="32"/>
      <c r="C57" s="32"/>
      <c r="D57" s="32"/>
      <c r="E57" s="32"/>
      <c r="F57" s="47">
        <f>SUM(F6:F56)</f>
        <v>46984.30935402069</v>
      </c>
      <c r="G57" s="43"/>
      <c r="H57" s="48">
        <f>SUM(H6:H56)</f>
        <v>3.4924596548080444E-10</v>
      </c>
      <c r="I57" s="4"/>
    </row>
    <row r="58" spans="1:9" ht="18" thickBot="1">
      <c r="A58" s="27" t="s">
        <v>17</v>
      </c>
      <c r="B58" s="30"/>
      <c r="C58" s="30"/>
      <c r="D58" s="30"/>
      <c r="E58" s="30"/>
      <c r="F58" s="31">
        <f>I7</f>
        <v>7646.479979102178</v>
      </c>
      <c r="G58" s="35"/>
      <c r="H58" s="35"/>
      <c r="I58" s="4"/>
    </row>
    <row r="59" spans="1:9" ht="18" thickBot="1">
      <c r="A59" s="29" t="s">
        <v>1</v>
      </c>
      <c r="B59" s="23"/>
      <c r="C59" s="23"/>
      <c r="D59" s="23"/>
      <c r="E59" s="23"/>
      <c r="F59" s="24">
        <f>IRR(D6:D56)</f>
        <v>0.10361041430949207</v>
      </c>
      <c r="G59" s="36"/>
      <c r="H59" s="36"/>
      <c r="I59" s="4"/>
    </row>
    <row r="60" spans="1:9" ht="18" thickBot="1">
      <c r="A60" s="28" t="s">
        <v>2</v>
      </c>
      <c r="B60" s="32"/>
      <c r="C60" s="32"/>
      <c r="D60" s="32"/>
      <c r="E60" s="32"/>
      <c r="F60" s="33">
        <f>NPER(B4,F62,F6,0)</f>
        <v>9.717822493197401</v>
      </c>
      <c r="G60" s="37"/>
      <c r="H60" s="37"/>
      <c r="I60" s="4"/>
    </row>
    <row r="61" spans="1:8" ht="12.75" hidden="1">
      <c r="A61" s="25" t="s">
        <v>5</v>
      </c>
      <c r="F61" s="26">
        <f>SUM(F7:F56)</f>
        <v>2746984.3093540207</v>
      </c>
      <c r="G61" s="26"/>
      <c r="H61" s="26"/>
    </row>
    <row r="62" spans="1:8" ht="12.75" hidden="1">
      <c r="A62" s="25" t="s">
        <v>6</v>
      </c>
      <c r="F62" s="1">
        <f>PMT(B4,B3,F61,0)*-1</f>
        <v>447059.04616188334</v>
      </c>
      <c r="G62" s="1"/>
      <c r="H62" s="1"/>
    </row>
    <row r="64" ht="17.25">
      <c r="A64" s="46" t="s">
        <v>15</v>
      </c>
    </row>
    <row r="65" spans="1:6" ht="78" customHeight="1">
      <c r="A65" s="221" t="str">
        <f>CONCATENATE("Da nutidsværdien er ",IF(F57&gt;=0,"positiv med ","negativ med "),"kr. ",ROUND(F57,0)," er investeringen ",IF(F57&gt;=0,"rentabel ","ikke rentabel "),"og bør ",IF(F57&gt;=0,"foretages. ","ikke foretages. "),"Den interne rente er på ",ROUND(F59,4)*100," hvilket er ",IF(ROUND((F59-B4),4)*100&gt;0,ROUND((F59-B4),4)*100,ROUND((F59-B4),4)*-100)," %-point ",IF(B4&lt;=F59,"over ","under "),"kalkulationsrenten på ",ROUND(B4,2)*100," %. ","Hvis man omregner nutidsværdien til en annuitet bliver det årlige ",IF(F57&gt;=0,"overskud ","underskud "),"på kr. ",ROUND(F58,0),". ","Både den ",IF(F57&gt;=0,"postive ","negative "),"nutidsværdi og det at den interne rente er ",IF(F57&gt;=0,"over ","under "),"kalkulationsrenten bekræfter os i at investeringen ",IF(F57&gt;=0,"bør foretages.","ikke bør foretages."))</f>
        <v>Da nutidsværdien er positiv med kr. 46984 er investeringen rentabel og bør foretages. Den interne rente er på 10,36 hvilket er 0,36 %-point over kalkulationsrenten på 10 %. Hvis man omregner nutidsværdien til en annuitet bliver det årlige overskud på kr. 7646. Både den postive nutidsværdi og det at den interne rente er over kalkulationsrenten bekræfter os i at investeringen bør foretages.</v>
      </c>
      <c r="B65" s="221"/>
      <c r="C65" s="221"/>
      <c r="D65" s="221"/>
      <c r="E65" s="221"/>
      <c r="F65" s="221"/>
    </row>
    <row r="66" spans="1:6" ht="12.75">
      <c r="A66" s="2" t="s">
        <v>19</v>
      </c>
      <c r="B66" s="2" t="s">
        <v>20</v>
      </c>
      <c r="F66" s="51">
        <f>F57/E16*-1</f>
        <v>-121865.19812999715</v>
      </c>
    </row>
    <row r="67" spans="1:6" ht="12.75">
      <c r="A67" s="2"/>
      <c r="B67" s="2" t="s">
        <v>21</v>
      </c>
      <c r="F67" s="51">
        <v>750000</v>
      </c>
    </row>
    <row r="68" spans="2:6" ht="12.75">
      <c r="B68" t="s">
        <v>22</v>
      </c>
      <c r="F68" s="51">
        <f>F66+F67</f>
        <v>628134.8018700029</v>
      </c>
    </row>
  </sheetData>
  <sheetProtection/>
  <mergeCells count="2">
    <mergeCell ref="A1:C1"/>
    <mergeCell ref="A65:F65"/>
  </mergeCells>
  <printOptions/>
  <pageMargins left="0.7874015748031497" right="0.3937007874015748" top="0.984251968503937" bottom="0.984251968503937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BR-consult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Brygger</dc:creator>
  <cp:keywords/>
  <dc:description/>
  <cp:lastModifiedBy>Per Brygger</cp:lastModifiedBy>
  <cp:lastPrinted>2004-06-02T13:39:57Z</cp:lastPrinted>
  <dcterms:created xsi:type="dcterms:W3CDTF">2000-11-16T20:31:04Z</dcterms:created>
  <dcterms:modified xsi:type="dcterms:W3CDTF">2010-01-13T00:33:07Z</dcterms:modified>
  <cp:category/>
  <cp:version/>
  <cp:contentType/>
  <cp:contentStatus/>
</cp:coreProperties>
</file>