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1620" windowWidth="12120" windowHeight="9120" tabRatio="876" firstSheet="1" activeTab="5"/>
  </bookViews>
  <sheets>
    <sheet name="Debitorer" sheetId="4" r:id="rId1"/>
    <sheet name="Fakturaer" sheetId="6" r:id="rId2"/>
    <sheet name="opgave 1.4" sheetId="15" r:id="rId3"/>
    <sheet name="Ordrelinier" sheetId="5" r:id="rId4"/>
    <sheet name="Varelager" sheetId="7" r:id="rId5"/>
    <sheet name="DATA TIL opgave 2" sheetId="11" r:id="rId6"/>
    <sheet name="Diagram 2.3" sheetId="16" r:id="rId7"/>
    <sheet name="ØKONOMIMODEL til opgave 3" sheetId="12" r:id="rId8"/>
    <sheet name="Opgave 4" sheetId="13" r:id="rId9"/>
    <sheet name="Ark1" sheetId="14" r:id="rId10"/>
  </sheets>
  <definedNames>
    <definedName name="_xlnm._FilterDatabase" localSheetId="0" hidden="1">Debitorer!$A$1:$H$13</definedName>
    <definedName name="_xlnm._FilterDatabase" localSheetId="1" hidden="1">Fakturaer!$A$1:$E$115</definedName>
    <definedName name="_xlnm._FilterDatabase" localSheetId="3" hidden="1">Ordrelinier!$A$1:$H$273</definedName>
    <definedName name="_xlnm._FilterDatabase" localSheetId="4" hidden="1">Varelager!$A$1:$D$31</definedName>
    <definedName name="_xlnm.Print_Titles" localSheetId="1">Fakturaer!$1:$1</definedName>
    <definedName name="_xlnm.Print_Titles" localSheetId="3">Ordrelinier!$1:$1</definedName>
    <definedName name="Query_from_XAL35" localSheetId="1">Fakturaer!$A$1:$E$115</definedName>
    <definedName name="Query_from_XAL35" localSheetId="3">Ordrelinier!$A$1:$H$248</definedName>
    <definedName name="Query_from_XAL35" localSheetId="4">Varelager!$A$1:$D$31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'DATA TIL opgave 2'!$G$10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F16" i="11" l="1"/>
  <c r="F12" i="11"/>
  <c r="F25" i="11"/>
  <c r="F26" i="11"/>
  <c r="F27" i="11"/>
  <c r="F24" i="11"/>
  <c r="F21" i="11"/>
  <c r="F22" i="11"/>
  <c r="F23" i="11"/>
  <c r="F20" i="11"/>
  <c r="F17" i="11"/>
  <c r="F18" i="11"/>
  <c r="F19" i="11"/>
  <c r="F13" i="11"/>
  <c r="F14" i="11"/>
  <c r="F15" i="11"/>
  <c r="C31" i="11"/>
  <c r="C32" i="11"/>
  <c r="C33" i="11"/>
  <c r="C34" i="11"/>
  <c r="B35" i="11"/>
  <c r="B34" i="11"/>
  <c r="B33" i="11"/>
  <c r="B32" i="11"/>
  <c r="B31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25" i="11"/>
  <c r="D15" i="11"/>
  <c r="D16" i="11"/>
  <c r="D17" i="11"/>
  <c r="D18" i="11"/>
  <c r="D19" i="11"/>
  <c r="D20" i="11"/>
  <c r="D21" i="11"/>
  <c r="D22" i="11"/>
  <c r="D23" i="11"/>
  <c r="D24" i="11"/>
  <c r="D14" i="11"/>
  <c r="C24" i="11"/>
  <c r="C20" i="11"/>
  <c r="C25" i="11"/>
  <c r="C26" i="11"/>
  <c r="C27" i="11"/>
  <c r="C21" i="11"/>
  <c r="C22" i="11"/>
  <c r="C23" i="11"/>
  <c r="C19" i="11"/>
  <c r="C17" i="11"/>
  <c r="C18" i="11"/>
  <c r="C16" i="11"/>
  <c r="E77" i="12" l="1"/>
  <c r="D70" i="12" l="1"/>
  <c r="D68" i="12"/>
  <c r="E86" i="12"/>
  <c r="B86" i="12"/>
  <c r="E81" i="12"/>
  <c r="B80" i="12"/>
  <c r="E84" i="12"/>
  <c r="E82" i="12"/>
  <c r="E76" i="12"/>
  <c r="E83" i="12"/>
  <c r="E78" i="12"/>
  <c r="E75" i="12"/>
  <c r="B79" i="12"/>
  <c r="B78" i="12"/>
  <c r="B75" i="12"/>
  <c r="B70" i="12"/>
  <c r="B69" i="12"/>
  <c r="D53" i="12"/>
  <c r="B67" i="12"/>
  <c r="D62" i="12"/>
  <c r="D61" i="12"/>
  <c r="D60" i="12"/>
  <c r="D63" i="12" s="1"/>
  <c r="D58" i="12"/>
  <c r="D51" i="12"/>
  <c r="D50" i="12"/>
  <c r="D49" i="12"/>
  <c r="C48" i="12"/>
  <c r="D48" i="12"/>
  <c r="D47" i="12"/>
  <c r="C47" i="12"/>
  <c r="D39" i="12"/>
  <c r="E38" i="12"/>
  <c r="B48" i="12"/>
  <c r="B47" i="12"/>
  <c r="D46" i="12"/>
  <c r="C46" i="12"/>
  <c r="B46" i="12"/>
  <c r="D36" i="12"/>
  <c r="D45" i="12"/>
  <c r="C45" i="12"/>
  <c r="D35" i="12"/>
  <c r="B45" i="12"/>
  <c r="D42" i="12"/>
  <c r="B13" i="13"/>
  <c r="B8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F265" i="5"/>
  <c r="F266" i="5"/>
  <c r="F267" i="5"/>
  <c r="F268" i="5"/>
  <c r="F269" i="5"/>
  <c r="F270" i="5"/>
  <c r="F271" i="5"/>
  <c r="F272" i="5"/>
  <c r="F273" i="5"/>
  <c r="G265" i="5"/>
  <c r="G266" i="5"/>
  <c r="G267" i="5"/>
  <c r="G268" i="5"/>
  <c r="G269" i="5"/>
  <c r="G270" i="5"/>
  <c r="G271" i="5"/>
  <c r="G272" i="5"/>
  <c r="G273" i="5"/>
  <c r="H273" i="5" s="1"/>
  <c r="H265" i="5"/>
  <c r="H266" i="5"/>
  <c r="H267" i="5"/>
  <c r="H268" i="5"/>
  <c r="H269" i="5"/>
  <c r="H270" i="5"/>
  <c r="H271" i="5"/>
  <c r="H272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G2" i="6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" i="5"/>
  <c r="F2" i="5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2" i="6"/>
  <c r="B31" i="12"/>
  <c r="E23" i="12"/>
  <c r="E31" i="12" s="1"/>
  <c r="B5" i="12"/>
  <c r="B7" i="12" s="1"/>
  <c r="B9" i="12" s="1"/>
  <c r="B11" i="12" l="1"/>
  <c r="B13" i="12" s="1"/>
  <c r="B14" i="12" l="1"/>
  <c r="B15" i="12" l="1"/>
</calcChain>
</file>

<file path=xl/connections.xml><?xml version="1.0" encoding="utf-8"?>
<connections xmlns="http://schemas.openxmlformats.org/spreadsheetml/2006/main">
  <connection id="1" name="Forbindelse" type="1" refreshedVersion="1" savePassword="1" background="1" saveData="1">
    <dbPr connection="DSN=XAL35;UID=supervisor;DBQ=C:\Program Files\Navision\XAL 3.5\country\UK\c_data.dk;CODEPAGE=1252;DIRS=C:\Program Files\Navision\XAL 3.5;;UID=supervisor;NAMECASE=Unchanged;DISPLAYNAME=DICT;HIGHASCII=TRUE;BLANKISNULL=TRUE;DEBUG=FALSE;" command="SELECT DebInvJour.InvoiceNumber, DebInvJour.Invoicedate, DebInvJour.Invoiceduedate, DebInvJour.Invoiceamount, DebInvJour.Invoiceaccount, DebInvJour.Name, DebInvJour.Address1, DebInvJour.Address2, DebInvJour.Address3, DebInvJour.Attention_x000d__x000a_FROM DebInvJour DebInvJour"/>
  </connection>
  <connection id="2" name="Forbindelse1" type="1" refreshedVersion="1" savePassword="1" background="1" saveData="1">
    <dbPr connection="DSN=XAL35;UID=supervisor;DBQ=C:\Program Files\Navision\XAL 3.5\country\UK\c_data.dk;CODEPAGE=1252;DIRS=C:\Program Files\Navision\XAL 3.5;;UID=supervisor;NAMECASE=Unchanged;DISPLAYNAME=DICT;HIGHASCII=TRUE;BLANKISNULL=TRUE;DEBUG=FALSE;" command="SELECT DebInvTrans.InvoiceNumber, DebInvTrans.LineNo, DebInvTrans.Invoicedate, DebInvTrans.Qty, DebInvTrans.CostValue, DebInvTrans.SalesPrice, DebInvTrans.LineAmount, DebInvTrans.ExchangeCode, DebInvTrans.VatAmount, DebInvTrans.VatCode, DebInvTrans.Salesrep, DebInvTrans.SalesNumber_x000d__x000a_FROM DebInvTrans DebInvTrans"/>
  </connection>
  <connection id="3" name="Forbindelse2" type="1" refreshedVersion="1" savePassword="1" background="1" saveData="1">
    <dbPr connection="DSN=XAL35;UID=supervisor;DBQ=C:\Program Files\Navision\XAL 3.5\country\UK\c_data.dk;CODEPAGE=1252;DIRS=C:\Program Files\Navision\XAL 3.5;;UID=supervisor;NAMECASE=Unchanged;DISPLAYNAME=DICT;HIGHASCII=TRUE;BLANKISNULL=TRUE;DEBUG=FALSE;" command="SELECT StockTable.ItemNumber, StockTable.ItemName, StockTable.SalesPrice, StockTable.CostPrice, StockTable.DeliveryTime, StockTable.ItemGroup_x000d__x000a_FROM StockTable StockTable"/>
  </connection>
</connections>
</file>

<file path=xl/sharedStrings.xml><?xml version="1.0" encoding="utf-8"?>
<sst xmlns="http://schemas.openxmlformats.org/spreadsheetml/2006/main" count="754" uniqueCount="301">
  <si>
    <t>Van der Falk in the Netherlands</t>
  </si>
  <si>
    <t>Koperweg 49</t>
  </si>
  <si>
    <t>Rotterdam</t>
  </si>
  <si>
    <t>+31 30 5000 76 87</t>
  </si>
  <si>
    <t>Victor-Hugo S.A.</t>
  </si>
  <si>
    <t>86, rue de Lisbonne</t>
  </si>
  <si>
    <t>Lyon</t>
  </si>
  <si>
    <t>+33 45966208</t>
  </si>
  <si>
    <t>M. Kruckenhauser Ges.m.b.H</t>
  </si>
  <si>
    <t>Feldkircher Strasse 55</t>
  </si>
  <si>
    <t>Innsbruck</t>
  </si>
  <si>
    <t>+43 (0) 1 830 42 52</t>
  </si>
  <si>
    <t>General Office service Ltd.</t>
  </si>
  <si>
    <t>Chalfont St. Giles</t>
  </si>
  <si>
    <t>HP8 4LJ</t>
  </si>
  <si>
    <t>+44 1205 426900</t>
  </si>
  <si>
    <t>Bind you Ltd</t>
  </si>
  <si>
    <t>Victoria Street 32</t>
  </si>
  <si>
    <t>Lancashire</t>
  </si>
  <si>
    <t>BL2 1EX</t>
  </si>
  <si>
    <t>+44 1703 426780</t>
  </si>
  <si>
    <t>Brabrand Trade Company A/S</t>
  </si>
  <si>
    <t>Hollandsvej 338</t>
  </si>
  <si>
    <t>Brabrand</t>
  </si>
  <si>
    <t>+45 82 80 00 05</t>
  </si>
  <si>
    <t>Ole Hansen A/S</t>
  </si>
  <si>
    <t>Vintervej 29</t>
  </si>
  <si>
    <t>+45 31573592</t>
  </si>
  <si>
    <t>Copenhagen Conference Service A/S</t>
  </si>
  <si>
    <t>Nordhavnvej 4</t>
  </si>
  <si>
    <t>+45 31239000</t>
  </si>
  <si>
    <t>Roskilde Redningstjeneste Aps</t>
  </si>
  <si>
    <t>Oscar Nielsensvej 5</t>
  </si>
  <si>
    <t>Roskilde</t>
  </si>
  <si>
    <t>+45 44 99 84 29</t>
  </si>
  <si>
    <t>D. Lindgren &amp; Co. AB</t>
  </si>
  <si>
    <t>Strandbergsgatan 67</t>
  </si>
  <si>
    <t>Stockholm</t>
  </si>
  <si>
    <t>+46 0224-111-65</t>
  </si>
  <si>
    <t>Victor Grünbaum GmbH</t>
  </si>
  <si>
    <t>Herbert Gross str. 456</t>
  </si>
  <si>
    <t>Frankfurt</t>
  </si>
  <si>
    <t>Stuttgart Flughafen GmbH</t>
  </si>
  <si>
    <t>Concorde Str. 28</t>
  </si>
  <si>
    <t>Stuttgart</t>
  </si>
  <si>
    <t>+49 456 789 2338</t>
  </si>
  <si>
    <t>Damgaard Training A/S</t>
  </si>
  <si>
    <t>+45 45 99 93 00</t>
  </si>
  <si>
    <t>Damgaard A/S</t>
  </si>
  <si>
    <t>Navision a/s</t>
  </si>
  <si>
    <t>Frydenlunds Allé 6</t>
  </si>
  <si>
    <t>Vedbæk</t>
  </si>
  <si>
    <t>+45 45 67 80 00</t>
  </si>
  <si>
    <t>Hermann Becker GmbH</t>
  </si>
  <si>
    <t>Rehmstr. 55</t>
  </si>
  <si>
    <t>Hamburg</t>
  </si>
  <si>
    <t>D-22299</t>
  </si>
  <si>
    <t>Amager Supermarked A/S</t>
  </si>
  <si>
    <t>Amager Landevej 25</t>
  </si>
  <si>
    <t>+32 96 96 00</t>
  </si>
  <si>
    <t>FakturaNummer</t>
  </si>
  <si>
    <t>LinineNr</t>
  </si>
  <si>
    <t>FakturaDato</t>
  </si>
  <si>
    <t>Mængde</t>
  </si>
  <si>
    <t>KostPris</t>
  </si>
  <si>
    <t>SalgsPris</t>
  </si>
  <si>
    <t>MomsKode</t>
  </si>
  <si>
    <t>VareNummer</t>
  </si>
  <si>
    <t>Udg-25</t>
  </si>
  <si>
    <t>V-Index31</t>
  </si>
  <si>
    <t>S-Ringbind-Gul</t>
  </si>
  <si>
    <t>S-Ringbind-Blå</t>
  </si>
  <si>
    <t>V-Pen</t>
  </si>
  <si>
    <t>EU</t>
  </si>
  <si>
    <t>V-Index12</t>
  </si>
  <si>
    <t>V-Index20</t>
  </si>
  <si>
    <t>V-Papir</t>
  </si>
  <si>
    <t>S-Ringbind-Rød</t>
  </si>
  <si>
    <t>V-Index05</t>
  </si>
  <si>
    <t>V-Pen logo</t>
  </si>
  <si>
    <t>S-Ringbind-Sort</t>
  </si>
  <si>
    <t>V-Papir logo</t>
  </si>
  <si>
    <t>V-Tape</t>
  </si>
  <si>
    <t>V-CD</t>
  </si>
  <si>
    <t>V-Metalhjørne</t>
  </si>
  <si>
    <t>V-Plastikomslag</t>
  </si>
  <si>
    <t>S-Omslag DTB</t>
  </si>
  <si>
    <t>V-Mekanisme</t>
  </si>
  <si>
    <t>V-læderomslag</t>
  </si>
  <si>
    <t>S-Specielt ringbind</t>
  </si>
  <si>
    <t>S-Omslag Tra</t>
  </si>
  <si>
    <t>Y-print</t>
  </si>
  <si>
    <t>V-Blæk</t>
  </si>
  <si>
    <t>FakturaNr.</t>
  </si>
  <si>
    <t>Blåt ringbind</t>
  </si>
  <si>
    <t>V-Blåt folie</t>
  </si>
  <si>
    <t>Blåt folie til ringbind</t>
  </si>
  <si>
    <t>V-Pap</t>
  </si>
  <si>
    <t>Pap til ringbind</t>
  </si>
  <si>
    <t>V-Sort folie</t>
  </si>
  <si>
    <t>Sort folie til ringbind</t>
  </si>
  <si>
    <t>V-Rødt folie</t>
  </si>
  <si>
    <t>Rødt folie til ringbind</t>
  </si>
  <si>
    <t>Mekanisme til ringbind</t>
  </si>
  <si>
    <t>Metalhjørner til ringbind</t>
  </si>
  <si>
    <t>V-Ring</t>
  </si>
  <si>
    <t>Metal ring til ringbind</t>
  </si>
  <si>
    <t>V-Gult folie</t>
  </si>
  <si>
    <t>Gult folie til ringbind</t>
  </si>
  <si>
    <t>Rødt ringbind</t>
  </si>
  <si>
    <t>Gult ringbind</t>
  </si>
  <si>
    <t>Sort Ringbind</t>
  </si>
  <si>
    <t>Kundespecifik ringbind</t>
  </si>
  <si>
    <t>Papir med Navision logo</t>
  </si>
  <si>
    <t>Pen</t>
  </si>
  <si>
    <t>Index 5</t>
  </si>
  <si>
    <t xml:space="preserve">Index 12 </t>
  </si>
  <si>
    <t>Index 20</t>
  </si>
  <si>
    <t>Index 31</t>
  </si>
  <si>
    <t>Pen med Navision logo</t>
  </si>
  <si>
    <t>Papir</t>
  </si>
  <si>
    <t>Læderomslag til ringbind</t>
  </si>
  <si>
    <t>Plastik omslag til ringbind</t>
  </si>
  <si>
    <t>Training omslag til ringbind</t>
  </si>
  <si>
    <t xml:space="preserve">DTB Omslag til ringbind </t>
  </si>
  <si>
    <t>Tape</t>
  </si>
  <si>
    <t>CD med demo data</t>
  </si>
  <si>
    <t>V-Papir print</t>
  </si>
  <si>
    <t>Papir til omslag</t>
  </si>
  <si>
    <t>Blæk</t>
  </si>
  <si>
    <t>Print omkostninger</t>
  </si>
  <si>
    <t>Land</t>
  </si>
  <si>
    <t>Holland</t>
  </si>
  <si>
    <t>Frankrig</t>
  </si>
  <si>
    <t>Østrig</t>
  </si>
  <si>
    <t>Danmark</t>
  </si>
  <si>
    <t>Frederiksberg</t>
  </si>
  <si>
    <t>Kobenhavn SV</t>
  </si>
  <si>
    <t>Sverige</t>
  </si>
  <si>
    <t>Tyskland</t>
  </si>
  <si>
    <t>FakturaBeløb Excl. Moms</t>
  </si>
  <si>
    <t>Postnummer</t>
  </si>
  <si>
    <t>Telefon</t>
  </si>
  <si>
    <t>England</t>
  </si>
  <si>
    <t>Adresse</t>
  </si>
  <si>
    <t>Bregnerødvej 131</t>
  </si>
  <si>
    <t>Main Road 4575</t>
  </si>
  <si>
    <t>Løbende måned + 60 dage</t>
  </si>
  <si>
    <t>Løbende måned + 30 dage</t>
  </si>
  <si>
    <t>Netto kontant</t>
  </si>
  <si>
    <t>Forfaldsdato</t>
  </si>
  <si>
    <t>År</t>
  </si>
  <si>
    <t>Måned</t>
  </si>
  <si>
    <t>Kvartal</t>
  </si>
  <si>
    <t>LinieBeløb i DKK</t>
  </si>
  <si>
    <t>By</t>
  </si>
  <si>
    <t>Birkerød</t>
  </si>
  <si>
    <t>D-16252</t>
  </si>
  <si>
    <t>D-70001</t>
  </si>
  <si>
    <t>København Ø</t>
  </si>
  <si>
    <t xml:space="preserve">F-69007 </t>
  </si>
  <si>
    <t>A-6020</t>
  </si>
  <si>
    <t xml:space="preserve">S-12128 </t>
  </si>
  <si>
    <t>NL-3041</t>
  </si>
  <si>
    <t>DebitorNavn</t>
  </si>
  <si>
    <t>Betalingsbetingelser</t>
  </si>
  <si>
    <t>Debitorer:</t>
  </si>
  <si>
    <t>Rådata til opgave 2</t>
  </si>
  <si>
    <t>DK-8220</t>
  </si>
  <si>
    <t>DK-2000</t>
  </si>
  <si>
    <t>DK-2450</t>
  </si>
  <si>
    <t>DK-4000</t>
  </si>
  <si>
    <t>DK-3460</t>
  </si>
  <si>
    <t>DK-2950</t>
  </si>
  <si>
    <t>DK-2300</t>
  </si>
  <si>
    <t>Kundenr.</t>
  </si>
  <si>
    <t>Varenavn</t>
  </si>
  <si>
    <t>Varenummer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</si>
  <si>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</si>
  <si>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</si>
  <si>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</si>
  <si>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</si>
  <si>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</si>
  <si>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</si>
  <si>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</si>
  <si>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</si>
  <si>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</si>
  <si>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</si>
  <si>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</si>
  <si>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</si>
  <si>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</si>
  <si>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</si>
  <si>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</si>
  <si>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</si>
  <si>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Styk</t>
  </si>
  <si>
    <t>kvartal</t>
  </si>
  <si>
    <t>Kvartalvist afsætning i styk for produktet PG</t>
  </si>
  <si>
    <t>Kvartalvis afsætning i styk for produkt PG</t>
  </si>
  <si>
    <t>1. kvartal</t>
  </si>
  <si>
    <t>2. kvartal</t>
  </si>
  <si>
    <t>3. kvartal</t>
  </si>
  <si>
    <t>4. kvartal</t>
  </si>
  <si>
    <t>DATA TIL OPGAVE 3</t>
  </si>
  <si>
    <t>Budget
2012</t>
  </si>
  <si>
    <t>Omsætning</t>
  </si>
  <si>
    <t>- Vareforbrug</t>
  </si>
  <si>
    <t>DB</t>
  </si>
  <si>
    <t>- Salgsfremmende omk.</t>
  </si>
  <si>
    <t>MFB</t>
  </si>
  <si>
    <t>- Kontante Kap. Omk.</t>
  </si>
  <si>
    <t>IB</t>
  </si>
  <si>
    <t>- Afskrivninger</t>
  </si>
  <si>
    <t>Resultat før renter</t>
  </si>
  <si>
    <t>- renteomkostninger</t>
  </si>
  <si>
    <t>Årets resultat før skat</t>
  </si>
  <si>
    <t>- skat</t>
  </si>
  <si>
    <t>Årets resultat efter skat</t>
  </si>
  <si>
    <t>Balance ultimo 2011 i kr. 1.000</t>
  </si>
  <si>
    <t>Aktiver</t>
  </si>
  <si>
    <t>Passiver</t>
  </si>
  <si>
    <t>Anlægsaktiver:</t>
  </si>
  <si>
    <t>Egenkapital:</t>
  </si>
  <si>
    <t>+ Reserver</t>
  </si>
  <si>
    <t>Omsætningsaktiver:</t>
  </si>
  <si>
    <t>+ Overskud</t>
  </si>
  <si>
    <t>Varelager</t>
  </si>
  <si>
    <t>Varedebitorer</t>
  </si>
  <si>
    <t>Kasse</t>
  </si>
  <si>
    <t>Kortfristet gæld:</t>
  </si>
  <si>
    <t>Kassekredit</t>
  </si>
  <si>
    <t>(max. 1.000)</t>
  </si>
  <si>
    <t>Varekreditorer</t>
  </si>
  <si>
    <t>Skyldigt udbytte</t>
  </si>
  <si>
    <t>Anden kort gæld</t>
  </si>
  <si>
    <t>Aktiver i alt</t>
  </si>
  <si>
    <t>Passiver i alt</t>
  </si>
  <si>
    <t>3.1</t>
  </si>
  <si>
    <t xml:space="preserve">Omsætningshastigheder: </t>
  </si>
  <si>
    <t>Varelager:</t>
  </si>
  <si>
    <t>Varekøb 2012 = VF + VL ultimo - VL  primo:</t>
  </si>
  <si>
    <t>Varekreditorer:</t>
  </si>
  <si>
    <t>3.2</t>
  </si>
  <si>
    <t>Likviditetsbudget for 2012 i kr. 1.000:</t>
  </si>
  <si>
    <t>Indtjeningsbidrag</t>
  </si>
  <si>
    <t>+/- ændring i</t>
  </si>
  <si>
    <t>Primo</t>
  </si>
  <si>
    <t>Ultimo</t>
  </si>
  <si>
    <t>Debitorer</t>
  </si>
  <si>
    <t>- renter</t>
  </si>
  <si>
    <t>Driftens likviditetsvirkning</t>
  </si>
  <si>
    <t>- Investeringer i året</t>
  </si>
  <si>
    <t>+ Finansielle indbetalinger</t>
  </si>
  <si>
    <t>- Finansielle udbetalinger</t>
  </si>
  <si>
    <t>Udbytte fra forrige år</t>
  </si>
  <si>
    <t>Samlet likviditetsvirkning</t>
  </si>
  <si>
    <t>+ Likvide midler primo</t>
  </si>
  <si>
    <t>Likvide midler ultimo</t>
  </si>
  <si>
    <t>3.3</t>
  </si>
  <si>
    <t>Noter til balancen:</t>
  </si>
  <si>
    <t>Anlægsaktiver</t>
  </si>
  <si>
    <t>Primo maximum</t>
  </si>
  <si>
    <t>+ tilgang (investeringer)</t>
  </si>
  <si>
    <t>- Likv. midler ultimo</t>
  </si>
  <si>
    <t>- afskrivninger</t>
  </si>
  <si>
    <t>+ Ovf. til kassen</t>
  </si>
  <si>
    <t>Gæld på KK ultimo</t>
  </si>
  <si>
    <t>Budgetteret balance ultimo 2012 i kr. 1.000</t>
  </si>
  <si>
    <t>Ultimo 2012</t>
  </si>
  <si>
    <t xml:space="preserve">+ Disponibel kassekredit primo </t>
  </si>
  <si>
    <t>Opgave 4</t>
  </si>
  <si>
    <t>4.1</t>
  </si>
  <si>
    <t>Løbetid</t>
  </si>
  <si>
    <t>Hovedstol</t>
  </si>
  <si>
    <t>Rente p.a.</t>
  </si>
  <si>
    <t>Slutværdi</t>
  </si>
  <si>
    <t>Ydelse</t>
  </si>
  <si>
    <t>Ydelsestabel</t>
  </si>
  <si>
    <t>Rentesats</t>
  </si>
  <si>
    <t>Aktiekapital</t>
  </si>
  <si>
    <t>Egenkapital</t>
  </si>
  <si>
    <t>år</t>
  </si>
  <si>
    <t>Row Labels</t>
  </si>
  <si>
    <t>Grand Total</t>
  </si>
  <si>
    <t>Column Labels</t>
  </si>
  <si>
    <t>(All)</t>
  </si>
  <si>
    <t>Total % af total</t>
  </si>
  <si>
    <t>% af total</t>
  </si>
  <si>
    <t>Total Omsæting i DKK</t>
  </si>
  <si>
    <t>Omsæting i DKK</t>
  </si>
  <si>
    <t>Centreret gns.(G)</t>
  </si>
  <si>
    <t>Index (S)</t>
  </si>
  <si>
    <t>S/G</t>
  </si>
  <si>
    <t>Sæsonfaktor pr kvartal</t>
  </si>
  <si>
    <t>1. kv.</t>
  </si>
  <si>
    <t>2. kv.</t>
  </si>
  <si>
    <t>3. kv.</t>
  </si>
  <si>
    <t>4. kv.</t>
  </si>
  <si>
    <t>Gns S/G</t>
  </si>
  <si>
    <t>Sum</t>
  </si>
  <si>
    <t>Modificeret</t>
  </si>
  <si>
    <t>Sæsonkorrigeret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</si>
</sst>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kr.&quot;\ #,##0.00;[Red]&quot;kr.&quot;\ \-#,##0.00"/>
    <numFmt numFmtId="44" formatCode="_ &quot;kr.&quot;\ * #,##0.00_ ;_ &quot;kr.&quot;\ * \-#,##0.00_ ;_ &quot;kr.&quot;\ * &quot;-&quot;??_ ;_ @_ "/>
    <numFmt numFmtId="164" formatCode="_(* #,##0.00_);_(* \(#,##0.00\);_(* &quot;-&quot;??_);_(@_)"/>
    <numFmt numFmtId="165" formatCode="_(* #,##0_);_(* \(#,##0\);_(* &quot;-&quot;??_);_(@_)"/>
    <numFmt numFmtId="166" formatCode="_(* #,##0_);_(* \-\ #,##0_);_(* #0_);_(@_)"/>
    <numFmt numFmtId="167" formatCode="#,##0.0"/>
    <numFmt numFmtId="168" formatCode="_ * #,##0_ ;_ * \-\ #,##0_ ;_ * 0_ ;_ @_ "/>
    <numFmt numFmtId="169" formatCode="_(&quot;kr.&quot;\ * #,##0_);_(&quot;kr.&quot;\ * \-\ #,##0_);_(&quot;kr.&quot;\ * 0_);_(@_)"/>
    <numFmt numFmtId="171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Comic Sans MS"/>
      <family val="4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4" fontId="0" fillId="0" borderId="0" xfId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64" fontId="2" fillId="0" borderId="12" xfId="1" applyFont="1" applyBorder="1"/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164" fontId="2" fillId="0" borderId="12" xfId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0" fontId="1" fillId="0" borderId="15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1" fillId="0" borderId="22" xfId="1" applyNumberFormat="1" applyFont="1" applyBorder="1" applyAlignment="1">
      <alignment horizontal="center"/>
    </xf>
    <xf numFmtId="165" fontId="1" fillId="0" borderId="21" xfId="1" applyNumberFormat="1" applyFont="1" applyBorder="1"/>
    <xf numFmtId="165" fontId="1" fillId="0" borderId="22" xfId="1" applyNumberFormat="1" applyFont="1" applyBorder="1"/>
    <xf numFmtId="0" fontId="2" fillId="0" borderId="23" xfId="0" applyFont="1" applyBorder="1" applyAlignment="1">
      <alignment horizontal="center"/>
    </xf>
    <xf numFmtId="165" fontId="1" fillId="0" borderId="23" xfId="1" applyNumberFormat="1" applyFont="1" applyBorder="1"/>
    <xf numFmtId="0" fontId="2" fillId="0" borderId="24" xfId="0" applyFont="1" applyBorder="1" applyAlignment="1">
      <alignment horizontal="center"/>
    </xf>
    <xf numFmtId="165" fontId="1" fillId="0" borderId="25" xfId="1" applyNumberFormat="1" applyFont="1" applyBorder="1" applyAlignment="1">
      <alignment horizontal="center"/>
    </xf>
    <xf numFmtId="165" fontId="1" fillId="0" borderId="24" xfId="1" applyNumberFormat="1" applyFont="1" applyBorder="1"/>
    <xf numFmtId="165" fontId="1" fillId="0" borderId="25" xfId="1" applyNumberFormat="1" applyFont="1" applyBorder="1"/>
    <xf numFmtId="0" fontId="0" fillId="0" borderId="15" xfId="0" applyBorder="1"/>
    <xf numFmtId="0" fontId="2" fillId="0" borderId="26" xfId="0" applyFont="1" applyBorder="1" applyAlignment="1">
      <alignment horizontal="center" wrapText="1"/>
    </xf>
    <xf numFmtId="0" fontId="0" fillId="0" borderId="16" xfId="0" applyBorder="1"/>
    <xf numFmtId="165" fontId="2" fillId="0" borderId="27" xfId="1" applyNumberFormat="1" applyFont="1" applyBorder="1"/>
    <xf numFmtId="0" fontId="0" fillId="0" borderId="16" xfId="0" quotePrefix="1" applyBorder="1"/>
    <xf numFmtId="165" fontId="2" fillId="2" borderId="28" xfId="1" applyNumberFormat="1" applyFont="1" applyFill="1" applyBorder="1"/>
    <xf numFmtId="165" fontId="2" fillId="0" borderId="27" xfId="1" applyNumberFormat="1" applyFont="1" applyFill="1" applyBorder="1"/>
    <xf numFmtId="0" fontId="9" fillId="0" borderId="0" xfId="0" quotePrefix="1" applyFont="1"/>
    <xf numFmtId="0" fontId="0" fillId="0" borderId="17" xfId="0" quotePrefix="1" applyBorder="1"/>
    <xf numFmtId="165" fontId="2" fillId="0" borderId="29" xfId="1" applyNumberFormat="1" applyFont="1" applyBorder="1"/>
    <xf numFmtId="165" fontId="2" fillId="0" borderId="29" xfId="1" applyNumberFormat="1" applyFont="1" applyFill="1" applyBorder="1"/>
    <xf numFmtId="165" fontId="2" fillId="2" borderId="29" xfId="1" applyNumberFormat="1" applyFont="1" applyFill="1" applyBorder="1"/>
    <xf numFmtId="9" fontId="0" fillId="0" borderId="0" xfId="0" applyNumberFormat="1" applyAlignment="1">
      <alignment horizontal="left" indent="1"/>
    </xf>
    <xf numFmtId="0" fontId="0" fillId="0" borderId="6" xfId="0" applyBorder="1"/>
    <xf numFmtId="165" fontId="2" fillId="2" borderId="9" xfId="1" applyNumberFormat="1" applyFont="1" applyFill="1" applyBorder="1"/>
    <xf numFmtId="0" fontId="11" fillId="0" borderId="0" xfId="0" applyFont="1" applyBorder="1" applyAlignment="1">
      <alignment horizontal="left"/>
    </xf>
    <xf numFmtId="0" fontId="0" fillId="0" borderId="33" xfId="0" applyBorder="1"/>
    <xf numFmtId="0" fontId="0" fillId="0" borderId="34" xfId="0" applyFill="1" applyBorder="1" applyAlignment="1">
      <alignment horizontal="left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1"/>
    </xf>
    <xf numFmtId="0" fontId="12" fillId="0" borderId="22" xfId="0" applyFont="1" applyBorder="1" applyAlignment="1">
      <alignment horizontal="left"/>
    </xf>
    <xf numFmtId="0" fontId="0" fillId="0" borderId="35" xfId="0" applyBorder="1"/>
    <xf numFmtId="0" fontId="0" fillId="0" borderId="37" xfId="0" applyBorder="1"/>
    <xf numFmtId="0" fontId="11" fillId="0" borderId="9" xfId="0" applyFont="1" applyBorder="1"/>
    <xf numFmtId="166" fontId="11" fillId="2" borderId="42" xfId="0" applyNumberFormat="1" applyFont="1" applyFill="1" applyBorder="1" applyAlignment="1">
      <alignment horizontal="center"/>
    </xf>
    <xf numFmtId="166" fontId="11" fillId="2" borderId="11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vertical="center"/>
    </xf>
    <xf numFmtId="0" fontId="1" fillId="0" borderId="0" xfId="0" quotePrefix="1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5" fillId="2" borderId="1" xfId="1" applyNumberFormat="1" applyFont="1" applyFill="1" applyBorder="1"/>
    <xf numFmtId="165" fontId="12" fillId="0" borderId="0" xfId="0" applyNumberFormat="1" applyFont="1"/>
    <xf numFmtId="166" fontId="2" fillId="2" borderId="4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quotePrefix="1" applyBorder="1"/>
    <xf numFmtId="0" fontId="5" fillId="0" borderId="1" xfId="0" applyFont="1" applyBorder="1" applyAlignment="1">
      <alignment horizontal="center"/>
    </xf>
    <xf numFmtId="166" fontId="0" fillId="0" borderId="14" xfId="0" applyNumberFormat="1" applyBorder="1"/>
    <xf numFmtId="0" fontId="0" fillId="0" borderId="34" xfId="0" applyBorder="1" applyAlignment="1">
      <alignment horizontal="left" indent="1"/>
    </xf>
    <xf numFmtId="166" fontId="2" fillId="2" borderId="1" xfId="0" applyNumberFormat="1" applyFont="1" applyFill="1" applyBorder="1" applyAlignment="1">
      <alignment horizontal="center"/>
    </xf>
    <xf numFmtId="166" fontId="2" fillId="2" borderId="14" xfId="0" quotePrefix="1" applyNumberFormat="1" applyFont="1" applyFill="1" applyBorder="1" applyAlignment="1">
      <alignment horizontal="center"/>
    </xf>
    <xf numFmtId="0" fontId="1" fillId="0" borderId="0" xfId="0" applyFont="1"/>
    <xf numFmtId="166" fontId="2" fillId="2" borderId="40" xfId="0" quotePrefix="1" applyNumberFormat="1" applyFont="1" applyFill="1" applyBorder="1" applyAlignment="1">
      <alignment horizontal="center"/>
    </xf>
    <xf numFmtId="166" fontId="2" fillId="2" borderId="33" xfId="0" quotePrefix="1" applyNumberFormat="1" applyFont="1" applyFill="1" applyBorder="1" applyAlignment="1">
      <alignment horizontal="center"/>
    </xf>
    <xf numFmtId="166" fontId="2" fillId="0" borderId="14" xfId="0" quotePrefix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quotePrefix="1" applyBorder="1" applyAlignment="1">
      <alignment horizontal="left"/>
    </xf>
    <xf numFmtId="0" fontId="0" fillId="0" borderId="22" xfId="0" quotePrefix="1" applyBorder="1" applyAlignment="1">
      <alignment horizontal="left"/>
    </xf>
    <xf numFmtId="0" fontId="0" fillId="0" borderId="34" xfId="0" quotePrefix="1" applyBorder="1" applyAlignment="1">
      <alignment horizontal="left"/>
    </xf>
    <xf numFmtId="0" fontId="0" fillId="0" borderId="1" xfId="0" quotePrefix="1" applyBorder="1" applyAlignment="1">
      <alignment horizontal="left"/>
    </xf>
    <xf numFmtId="166" fontId="2" fillId="0" borderId="48" xfId="0" applyNumberFormat="1" applyFont="1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66" fontId="2" fillId="2" borderId="44" xfId="0" quotePrefix="1" applyNumberFormat="1" applyFont="1" applyFill="1" applyBorder="1" applyAlignment="1">
      <alignment horizontal="center"/>
    </xf>
    <xf numFmtId="166" fontId="2" fillId="0" borderId="40" xfId="0" quotePrefix="1" applyNumberFormat="1" applyFont="1" applyBorder="1" applyAlignment="1">
      <alignment horizontal="center"/>
    </xf>
    <xf numFmtId="0" fontId="0" fillId="0" borderId="0" xfId="0" quotePrefix="1"/>
    <xf numFmtId="166" fontId="2" fillId="2" borderId="51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6" fontId="2" fillId="0" borderId="0" xfId="0" quotePrefix="1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4" borderId="50" xfId="0" applyFill="1" applyBorder="1"/>
    <xf numFmtId="0" fontId="2" fillId="0" borderId="50" xfId="0" applyFont="1" applyBorder="1" applyAlignment="1">
      <alignment horizontal="center"/>
    </xf>
    <xf numFmtId="0" fontId="0" fillId="0" borderId="27" xfId="0" applyBorder="1"/>
    <xf numFmtId="166" fontId="2" fillId="5" borderId="27" xfId="0" applyNumberFormat="1" applyFont="1" applyFill="1" applyBorder="1"/>
    <xf numFmtId="0" fontId="1" fillId="0" borderId="52" xfId="0" applyFont="1" applyBorder="1"/>
    <xf numFmtId="168" fontId="2" fillId="0" borderId="5" xfId="1" applyNumberFormat="1" applyFont="1" applyBorder="1"/>
    <xf numFmtId="0" fontId="0" fillId="0" borderId="27" xfId="0" quotePrefix="1" applyBorder="1"/>
    <xf numFmtId="0" fontId="0" fillId="0" borderId="52" xfId="0" quotePrefix="1" applyBorder="1"/>
    <xf numFmtId="166" fontId="2" fillId="2" borderId="5" xfId="0" applyNumberFormat="1" applyFont="1" applyFill="1" applyBorder="1"/>
    <xf numFmtId="0" fontId="0" fillId="0" borderId="29" xfId="0" quotePrefix="1" applyBorder="1"/>
    <xf numFmtId="166" fontId="2" fillId="5" borderId="29" xfId="0" applyNumberFormat="1" applyFont="1" applyFill="1" applyBorder="1"/>
    <xf numFmtId="0" fontId="0" fillId="0" borderId="50" xfId="0" quotePrefix="1" applyBorder="1"/>
    <xf numFmtId="0" fontId="0" fillId="0" borderId="26" xfId="0" applyBorder="1"/>
    <xf numFmtId="166" fontId="2" fillId="2" borderId="26" xfId="0" applyNumberFormat="1" applyFont="1" applyFill="1" applyBorder="1"/>
    <xf numFmtId="0" fontId="0" fillId="0" borderId="7" xfId="0" applyBorder="1"/>
    <xf numFmtId="166" fontId="2" fillId="2" borderId="6" xfId="0" applyNumberFormat="1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166" fontId="2" fillId="2" borderId="14" xfId="0" applyNumberFormat="1" applyFont="1" applyFill="1" applyBorder="1" applyAlignment="1">
      <alignment horizontal="center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166" fontId="2" fillId="5" borderId="14" xfId="0" applyNumberFormat="1" applyFont="1" applyFill="1" applyBorder="1" applyAlignment="1">
      <alignment horizontal="center"/>
    </xf>
    <xf numFmtId="166" fontId="2" fillId="2" borderId="4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4" fillId="0" borderId="0" xfId="0" applyFont="1"/>
    <xf numFmtId="166" fontId="2" fillId="5" borderId="1" xfId="0" applyNumberFormat="1" applyFont="1" applyFill="1" applyBorder="1" applyAlignment="1">
      <alignment horizontal="center"/>
    </xf>
    <xf numFmtId="0" fontId="2" fillId="0" borderId="1" xfId="0" applyFont="1" applyBorder="1"/>
    <xf numFmtId="168" fontId="2" fillId="0" borderId="1" xfId="0" applyNumberFormat="1" applyFont="1" applyBorder="1"/>
    <xf numFmtId="169" fontId="2" fillId="0" borderId="1" xfId="0" applyNumberFormat="1" applyFont="1" applyBorder="1"/>
    <xf numFmtId="9" fontId="2" fillId="0" borderId="1" xfId="0" applyNumberFormat="1" applyFont="1" applyBorder="1"/>
    <xf numFmtId="8" fontId="2" fillId="5" borderId="1" xfId="0" applyNumberFormat="1" applyFont="1" applyFill="1" applyBorder="1"/>
    <xf numFmtId="44" fontId="2" fillId="0" borderId="0" xfId="3" applyFont="1" applyAlignment="1">
      <alignment horizontal="center"/>
    </xf>
    <xf numFmtId="9" fontId="2" fillId="0" borderId="1" xfId="2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64" fontId="0" fillId="2" borderId="8" xfId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0" fontId="0" fillId="0" borderId="0" xfId="0" pivotButton="1"/>
    <xf numFmtId="165" fontId="0" fillId="0" borderId="0" xfId="0" applyNumberFormat="1"/>
    <xf numFmtId="164" fontId="0" fillId="0" borderId="0" xfId="0" applyNumberFormat="1"/>
    <xf numFmtId="10" fontId="0" fillId="0" borderId="0" xfId="0" applyNumberFormat="1"/>
    <xf numFmtId="9" fontId="0" fillId="0" borderId="36" xfId="0" applyNumberFormat="1" applyBorder="1" applyAlignment="1">
      <alignment horizontal="left" indent="1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quotePrefix="1" applyBorder="1" applyAlignment="1">
      <alignment horizontal="left" indent="1"/>
    </xf>
    <xf numFmtId="0" fontId="0" fillId="0" borderId="22" xfId="0" quotePrefix="1" applyBorder="1" applyAlignment="1">
      <alignment horizontal="left" indent="1"/>
    </xf>
    <xf numFmtId="0" fontId="12" fillId="0" borderId="35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0" fillId="0" borderId="38" xfId="0" quotePrefix="1" applyBorder="1" applyAlignment="1">
      <alignment horizontal="left" indent="1"/>
    </xf>
    <xf numFmtId="0" fontId="0" fillId="0" borderId="39" xfId="0" quotePrefix="1" applyBorder="1" applyAlignment="1">
      <alignment horizontal="left" indent="1"/>
    </xf>
    <xf numFmtId="0" fontId="10" fillId="3" borderId="1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0" fillId="0" borderId="35" xfId="0" applyFill="1" applyBorder="1"/>
    <xf numFmtId="0" fontId="0" fillId="0" borderId="37" xfId="0" applyFill="1" applyBorder="1"/>
    <xf numFmtId="0" fontId="1" fillId="0" borderId="35" xfId="0" applyFont="1" applyBorder="1" applyAlignment="1">
      <alignment horizontal="left" indent="1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4" xfId="0" quotePrefix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45" xfId="0" quotePrefix="1" applyBorder="1" applyAlignment="1">
      <alignment horizontal="left"/>
    </xf>
    <xf numFmtId="0" fontId="0" fillId="0" borderId="46" xfId="0" quotePrefix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36" xfId="0" applyBorder="1" applyAlignment="1">
      <alignment horizontal="left" indent="2"/>
    </xf>
    <xf numFmtId="0" fontId="0" fillId="0" borderId="34" xfId="0" quotePrefix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1" fillId="0" borderId="45" xfId="0" quotePrefix="1" applyFont="1" applyBorder="1" applyAlignment="1">
      <alignment horizontal="left" indent="1"/>
    </xf>
    <xf numFmtId="0" fontId="0" fillId="0" borderId="46" xfId="0" quotePrefix="1" applyBorder="1" applyAlignment="1">
      <alignment horizontal="left" inden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5" xfId="0" applyBorder="1"/>
    <xf numFmtId="0" fontId="0" fillId="0" borderId="37" xfId="0" applyBorder="1"/>
    <xf numFmtId="0" fontId="2" fillId="0" borderId="5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165" fontId="1" fillId="0" borderId="55" xfId="1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165" fontId="1" fillId="0" borderId="46" xfId="1" applyNumberFormat="1" applyFont="1" applyBorder="1" applyAlignment="1">
      <alignment horizontal="center"/>
    </xf>
    <xf numFmtId="165" fontId="1" fillId="0" borderId="55" xfId="1" applyNumberFormat="1" applyFont="1" applyBorder="1"/>
    <xf numFmtId="165" fontId="1" fillId="0" borderId="46" xfId="1" applyNumberFormat="1" applyFont="1" applyBorder="1"/>
    <xf numFmtId="0" fontId="0" fillId="9" borderId="56" xfId="0" applyFill="1" applyBorder="1"/>
    <xf numFmtId="0" fontId="0" fillId="6" borderId="53" xfId="0" applyFill="1" applyBorder="1"/>
    <xf numFmtId="0" fontId="0" fillId="8" borderId="53" xfId="0" applyFill="1" applyBorder="1"/>
    <xf numFmtId="0" fontId="0" fillId="7" borderId="57" xfId="0" applyFill="1" applyBorder="1"/>
    <xf numFmtId="1" fontId="0" fillId="9" borderId="56" xfId="0" applyNumberFormat="1" applyFill="1" applyBorder="1"/>
    <xf numFmtId="1" fontId="0" fillId="6" borderId="53" xfId="0" applyNumberFormat="1" applyFill="1" applyBorder="1"/>
    <xf numFmtId="1" fontId="0" fillId="8" borderId="53" xfId="0" applyNumberFormat="1" applyFill="1" applyBorder="1"/>
    <xf numFmtId="1" fontId="0" fillId="7" borderId="57" xfId="0" applyNumberFormat="1" applyFill="1" applyBorder="1"/>
    <xf numFmtId="171" fontId="0" fillId="0" borderId="1" xfId="0" applyNumberFormat="1" applyBorder="1"/>
    <xf numFmtId="1" fontId="0" fillId="0" borderId="33" xfId="0" applyNumberFormat="1" applyBorder="1"/>
    <xf numFmtId="0" fontId="0" fillId="0" borderId="56" xfId="0" applyBorder="1"/>
    <xf numFmtId="0" fontId="0" fillId="0" borderId="53" xfId="0" applyBorder="1"/>
    <xf numFmtId="1" fontId="0" fillId="0" borderId="53" xfId="0" applyNumberFormat="1" applyBorder="1"/>
    <xf numFmtId="1" fontId="0" fillId="0" borderId="57" xfId="0" applyNumberFormat="1" applyBorder="1"/>
    <xf numFmtId="1" fontId="0" fillId="0" borderId="56" xfId="0" applyNumberFormat="1" applyBorder="1"/>
    <xf numFmtId="171" fontId="0" fillId="0" borderId="53" xfId="0" applyNumberFormat="1" applyBorder="1"/>
    <xf numFmtId="171" fontId="0" fillId="0" borderId="57" xfId="0" applyNumberFormat="1" applyBorder="1"/>
    <xf numFmtId="171" fontId="0" fillId="8" borderId="53" xfId="0" applyNumberFormat="1" applyFill="1" applyBorder="1"/>
    <xf numFmtId="171" fontId="0" fillId="8" borderId="1" xfId="0" applyNumberFormat="1" applyFill="1" applyBorder="1"/>
    <xf numFmtId="171" fontId="0" fillId="7" borderId="1" xfId="0" applyNumberFormat="1" applyFill="1" applyBorder="1"/>
    <xf numFmtId="171" fontId="0" fillId="6" borderId="53" xfId="0" applyNumberFormat="1" applyFill="1" applyBorder="1"/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60" xfId="0" applyFont="1" applyBorder="1"/>
    <xf numFmtId="0" fontId="1" fillId="0" borderId="2" xfId="0" applyFont="1" applyBorder="1"/>
    <xf numFmtId="171" fontId="0" fillId="7" borderId="57" xfId="0" applyNumberFormat="1" applyFill="1" applyBorder="1"/>
    <xf numFmtId="0" fontId="1" fillId="0" borderId="6" xfId="0" applyFont="1" applyFill="1" applyBorder="1"/>
    <xf numFmtId="171" fontId="0" fillId="9" borderId="56" xfId="0" applyNumberFormat="1" applyFill="1" applyBorder="1"/>
    <xf numFmtId="0" fontId="0" fillId="0" borderId="57" xfId="0" applyBorder="1"/>
    <xf numFmtId="0" fontId="2" fillId="9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1" fontId="1" fillId="9" borderId="1" xfId="0" applyNumberFormat="1" applyFont="1" applyFill="1" applyBorder="1"/>
    <xf numFmtId="171" fontId="1" fillId="6" borderId="1" xfId="0" applyNumberFormat="1" applyFont="1" applyFill="1" applyBorder="1"/>
    <xf numFmtId="0" fontId="0" fillId="0" borderId="0" xfId="0" applyAlignment="1">
      <alignment horizontal="left" vertical="top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">
    <dxf>
      <numFmt numFmtId="14" formatCode="0.00%"/>
    </dxf>
    <dxf>
      <numFmt numFmtId="164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58630484865273E-2"/>
          <c:y val="7.5430693396709103E-2"/>
          <c:w val="0.69188339730873194"/>
          <c:h val="0.56718303700250106"/>
        </c:manualLayout>
      </c:layout>
      <c:lineChart>
        <c:grouping val="standard"/>
        <c:varyColors val="0"/>
        <c:ser>
          <c:idx val="1"/>
          <c:order val="0"/>
          <c:tx>
            <c:strRef>
              <c:f>'DATA TIL opgave 2'!$C$11</c:f>
              <c:strCache>
                <c:ptCount val="1"/>
                <c:pt idx="0">
                  <c:v>Index (S)</c:v>
                </c:pt>
              </c:strCache>
            </c:strRef>
          </c:tx>
          <c:cat>
            <c:strRef>
              <c:f>'DATA TIL opgave 2'!$A$12:$A$27</c:f>
              <c:strCache>
                <c:ptCount val="16"/>
                <c:pt idx="0">
                  <c:v>1. kvartal 2008</c:v>
                </c:pt>
                <c:pt idx="1">
                  <c:v>2. kvartal 2008</c:v>
                </c:pt>
                <c:pt idx="2">
                  <c:v>3. kvartal 2008</c:v>
                </c:pt>
                <c:pt idx="3">
                  <c:v>4. kvartal 2008</c:v>
                </c:pt>
                <c:pt idx="4">
                  <c:v>1. kvartal 2009</c:v>
                </c:pt>
                <c:pt idx="5">
                  <c:v>2. kvartal 2009</c:v>
                </c:pt>
                <c:pt idx="6">
                  <c:v>3. kvartal 2009</c:v>
                </c:pt>
                <c:pt idx="7">
                  <c:v>4. kvartal 2009</c:v>
                </c:pt>
                <c:pt idx="8">
                  <c:v>1. kvartal 2010</c:v>
                </c:pt>
                <c:pt idx="9">
                  <c:v>2. kvartal 2010</c:v>
                </c:pt>
                <c:pt idx="10">
                  <c:v>3. kvartal 2010</c:v>
                </c:pt>
                <c:pt idx="11">
                  <c:v>4. kvartal 2010</c:v>
                </c:pt>
                <c:pt idx="12">
                  <c:v>1. kvartal 2011</c:v>
                </c:pt>
                <c:pt idx="13">
                  <c:v>2. kvartal 2011</c:v>
                </c:pt>
                <c:pt idx="14">
                  <c:v>3. kvartal 2011</c:v>
                </c:pt>
                <c:pt idx="15">
                  <c:v>4. kvartal 2011</c:v>
                </c:pt>
              </c:strCache>
            </c:strRef>
          </c:cat>
          <c:val>
            <c:numRef>
              <c:f>'DATA TIL opgave 2'!$C$12:$C$27</c:f>
              <c:numCache>
                <c:formatCode>General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 formatCode="0">
                  <c:v>106.60000000000001</c:v>
                </c:pt>
                <c:pt idx="5" formatCode="0">
                  <c:v>106.36363636363637</c:v>
                </c:pt>
                <c:pt idx="6" formatCode="0">
                  <c:v>103.84615384615385</c:v>
                </c:pt>
                <c:pt idx="7" formatCode="0">
                  <c:v>103.33333333333334</c:v>
                </c:pt>
                <c:pt idx="8" formatCode="0">
                  <c:v>114.99999999999999</c:v>
                </c:pt>
                <c:pt idx="9" formatCode="0">
                  <c:v>110.00000000000001</c:v>
                </c:pt>
                <c:pt idx="10" formatCode="0">
                  <c:v>109.23076923076923</c:v>
                </c:pt>
                <c:pt idx="11" formatCode="0">
                  <c:v>110.00000000000001</c:v>
                </c:pt>
                <c:pt idx="12" formatCode="0">
                  <c:v>121</c:v>
                </c:pt>
                <c:pt idx="13" formatCode="0">
                  <c:v>115.45454545454545</c:v>
                </c:pt>
                <c:pt idx="14" formatCode="0">
                  <c:v>113.07692307692308</c:v>
                </c:pt>
                <c:pt idx="15" formatCode="0">
                  <c:v>115.55555555555554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TIL opgave 2'!$D$11</c:f>
              <c:strCache>
                <c:ptCount val="1"/>
                <c:pt idx="0">
                  <c:v>Centreret gns.(G)</c:v>
                </c:pt>
              </c:strCache>
            </c:strRef>
          </c:tx>
          <c:trendline>
            <c:spPr>
              <a:ln w="22225">
                <a:solidFill>
                  <a:schemeClr val="accent1"/>
                </a:solidFill>
              </a:ln>
            </c:spPr>
            <c:trendlineType val="linear"/>
            <c:forward val="4"/>
            <c:dispRSqr val="1"/>
            <c:dispEq val="1"/>
            <c:trendlineLbl>
              <c:layout>
                <c:manualLayout>
                  <c:x val="0.19884577598918124"/>
                  <c:y val="0.16813485797539968"/>
                </c:manualLayout>
              </c:layout>
              <c:numFmt formatCode="General" sourceLinked="0"/>
            </c:trendlineLbl>
          </c:trendline>
          <c:trendline>
            <c:spPr>
              <a:ln w="22225">
                <a:solidFill>
                  <a:srgbClr val="FFFF00"/>
                </a:solidFill>
              </a:ln>
            </c:spPr>
            <c:trendlineType val="exp"/>
            <c:forward val="4"/>
            <c:dispRSqr val="1"/>
            <c:dispEq val="1"/>
            <c:trendlineLbl>
              <c:layout>
                <c:manualLayout>
                  <c:x val="0.18075064563249618"/>
                  <c:y val="0.29187619088669586"/>
                </c:manualLayout>
              </c:layout>
              <c:numFmt formatCode="General" sourceLinked="0"/>
            </c:trendlineLbl>
          </c:trendline>
          <c:cat>
            <c:strRef>
              <c:f>'DATA TIL opgave 2'!$A$12:$A$27</c:f>
              <c:strCache>
                <c:ptCount val="16"/>
                <c:pt idx="0">
                  <c:v>1. kvartal 2008</c:v>
                </c:pt>
                <c:pt idx="1">
                  <c:v>2. kvartal 2008</c:v>
                </c:pt>
                <c:pt idx="2">
                  <c:v>3. kvartal 2008</c:v>
                </c:pt>
                <c:pt idx="3">
                  <c:v>4. kvartal 2008</c:v>
                </c:pt>
                <c:pt idx="4">
                  <c:v>1. kvartal 2009</c:v>
                </c:pt>
                <c:pt idx="5">
                  <c:v>2. kvartal 2009</c:v>
                </c:pt>
                <c:pt idx="6">
                  <c:v>3. kvartal 2009</c:v>
                </c:pt>
                <c:pt idx="7">
                  <c:v>4. kvartal 2009</c:v>
                </c:pt>
                <c:pt idx="8">
                  <c:v>1. kvartal 2010</c:v>
                </c:pt>
                <c:pt idx="9">
                  <c:v>2. kvartal 2010</c:v>
                </c:pt>
                <c:pt idx="10">
                  <c:v>3. kvartal 2010</c:v>
                </c:pt>
                <c:pt idx="11">
                  <c:v>4. kvartal 2010</c:v>
                </c:pt>
                <c:pt idx="12">
                  <c:v>1. kvartal 2011</c:v>
                </c:pt>
                <c:pt idx="13">
                  <c:v>2. kvartal 2011</c:v>
                </c:pt>
                <c:pt idx="14">
                  <c:v>3. kvartal 2011</c:v>
                </c:pt>
                <c:pt idx="15">
                  <c:v>4. kvartal 2011</c:v>
                </c:pt>
              </c:strCache>
            </c:strRef>
          </c:cat>
          <c:val>
            <c:numRef>
              <c:f>'DATA TIL opgave 2'!$D$12:$D$27</c:f>
              <c:numCache>
                <c:formatCode>General</c:formatCode>
                <c:ptCount val="16"/>
                <c:pt idx="2" formatCode="0">
                  <c:v>100.825</c:v>
                </c:pt>
                <c:pt idx="3" formatCode="0">
                  <c:v>102.44545454545455</c:v>
                </c:pt>
                <c:pt idx="4" formatCode="0">
                  <c:v>103.72167832167833</c:v>
                </c:pt>
                <c:pt idx="5" formatCode="0">
                  <c:v>104.61911421911424</c:v>
                </c:pt>
                <c:pt idx="6" formatCode="0">
                  <c:v>106.08578088578091</c:v>
                </c:pt>
                <c:pt idx="7" formatCode="0">
                  <c:v>107.59032634032636</c:v>
                </c:pt>
                <c:pt idx="8" formatCode="0">
                  <c:v>108.71794871794873</c:v>
                </c:pt>
                <c:pt idx="9" formatCode="0">
                  <c:v>110.22435897435898</c:v>
                </c:pt>
                <c:pt idx="10" formatCode="0">
                  <c:v>111.80769230769231</c:v>
                </c:pt>
                <c:pt idx="11" formatCode="0">
                  <c:v>113.23951048951049</c:v>
                </c:pt>
                <c:pt idx="12" formatCode="0">
                  <c:v>114.40209790209791</c:v>
                </c:pt>
                <c:pt idx="13" formatCode="0">
                  <c:v>115.57731157731158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9104"/>
        <c:axId val="134400640"/>
      </c:lineChart>
      <c:catAx>
        <c:axId val="134399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4400640"/>
        <c:crosses val="autoZero"/>
        <c:auto val="1"/>
        <c:lblAlgn val="ctr"/>
        <c:lblOffset val="100"/>
        <c:noMultiLvlLbl val="0"/>
      </c:catAx>
      <c:valAx>
        <c:axId val="134400640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9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22207521166942"/>
          <c:y val="2.9068246629817385E-2"/>
          <c:w val="0.19045448914597571"/>
          <c:h val="0.415165435158347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84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152400</xdr:rowOff>
    </xdr:from>
    <xdr:to>
      <xdr:col>2</xdr:col>
      <xdr:colOff>0</xdr:colOff>
      <xdr:row>38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1275" y="6353175"/>
          <a:ext cx="0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 Brygger" refreshedDate="41246.83146296296" createdVersion="4" refreshedVersion="4" minRefreshableVersion="3" recordCount="272">
  <cacheSource type="worksheet">
    <worksheetSource ref="A1:K273" sheet="Ordrelinier"/>
  </cacheSource>
  <cacheFields count="11">
    <cacheField name="FakturaNummer" numFmtId="1">
      <sharedItems containsSemiMixedTypes="0" containsString="0" containsNumber="1" containsInteger="1" minValue="5000" maxValue="5251" count="114">
        <n v="5246"/>
        <n v="5235"/>
        <n v="5228"/>
        <n v="5236"/>
        <n v="5224"/>
        <n v="5202"/>
        <n v="5233"/>
        <n v="5223"/>
        <n v="5214"/>
        <n v="5213"/>
        <n v="5208"/>
        <n v="5172"/>
        <n v="5160"/>
        <n v="5158"/>
        <n v="5157"/>
        <n v="5138"/>
        <n v="5131"/>
        <n v="5126"/>
        <n v="5122"/>
        <n v="5103"/>
        <n v="5098"/>
        <n v="5088"/>
        <n v="5085"/>
        <n v="5072"/>
        <n v="5063"/>
        <n v="5052"/>
        <n v="5048"/>
        <n v="5038"/>
        <n v="5036"/>
        <n v="5031"/>
        <n v="5000"/>
        <n v="5248"/>
        <n v="5222"/>
        <n v="5187"/>
        <n v="5143"/>
        <n v="5123"/>
        <n v="5120"/>
        <n v="5055"/>
        <n v="5037"/>
        <n v="5024"/>
        <n v="5023"/>
        <n v="5013"/>
        <n v="5001"/>
        <n v="5245"/>
        <n v="5243"/>
        <n v="5204"/>
        <n v="5149"/>
        <n v="5148"/>
        <n v="5130"/>
        <n v="5090"/>
        <n v="5076"/>
        <n v="5064"/>
        <n v="5020"/>
        <n v="5008"/>
        <n v="5251"/>
        <n v="5242"/>
        <n v="5203"/>
        <n v="5200"/>
        <n v="5161"/>
        <n v="5137"/>
        <n v="5132"/>
        <n v="5115"/>
        <n v="5114"/>
        <n v="5110"/>
        <n v="5089"/>
        <n v="5077"/>
        <n v="5061"/>
        <n v="5039"/>
        <n v="5012"/>
        <n v="5249"/>
        <n v="5239"/>
        <n v="5220"/>
        <n v="5219"/>
        <n v="5206"/>
        <n v="5195"/>
        <n v="5171"/>
        <n v="5165"/>
        <n v="5163"/>
        <n v="5159"/>
        <n v="5121"/>
        <n v="5109"/>
        <n v="5095"/>
        <n v="5075"/>
        <n v="5071"/>
        <n v="5030"/>
        <n v="5250"/>
        <n v="5238"/>
        <n v="5196"/>
        <n v="5194"/>
        <n v="5173"/>
        <n v="5169"/>
        <n v="5073"/>
        <n v="5049"/>
        <n v="5046"/>
        <n v="5212"/>
        <n v="5141"/>
        <n v="5134"/>
        <n v="5118"/>
        <n v="5105"/>
        <n v="5099"/>
        <n v="5017"/>
        <n v="5014"/>
        <n v="5005"/>
        <n v="5244"/>
        <n v="5193"/>
        <n v="5190"/>
        <n v="5144"/>
        <n v="5124"/>
        <n v="5101"/>
        <n v="5082"/>
        <n v="5069"/>
        <n v="5067"/>
        <n v="5053"/>
        <n v="5043"/>
      </sharedItems>
    </cacheField>
    <cacheField name="LinineNr" numFmtId="0">
      <sharedItems containsSemiMixedTypes="0" containsString="0" containsNumber="1" containsInteger="1" minValue="1" maxValue="8"/>
    </cacheField>
    <cacheField name="FakturaDato" numFmtId="14">
      <sharedItems containsSemiMixedTypes="0" containsNonDate="0" containsDate="1" containsString="0" minDate="2004-02-28T00:00:00" maxDate="2007-05-01T00:00:00"/>
    </cacheField>
    <cacheField name="VareNummer" numFmtId="0">
      <sharedItems/>
    </cacheField>
    <cacheField name="Mængde" numFmtId="165">
      <sharedItems containsSemiMixedTypes="0" containsString="0" containsNumber="1" containsInteger="1" minValue="1" maxValue="25000"/>
    </cacheField>
    <cacheField name="KostPris" numFmtId="164">
      <sharedItems containsSemiMixedTypes="0" containsString="0" containsNumber="1" minValue="1.5080640000000001" maxValue="30.002954638333001"/>
    </cacheField>
    <cacheField name="SalgsPris" numFmtId="164">
      <sharedItems containsSemiMixedTypes="0" containsString="0" containsNumber="1" minValue="3" maxValue="35"/>
    </cacheField>
    <cacheField name="LinieBeløb i DKK" numFmtId="165">
      <sharedItems containsSemiMixedTypes="0" containsString="0" containsNumber="1" minValue="12.18" maxValue="250000"/>
    </cacheField>
    <cacheField name="År" numFmtId="0">
      <sharedItems containsSemiMixedTypes="0" containsString="0" containsNumber="1" containsInteger="1" minValue="2004" maxValue="2007" count="4">
        <n v="2007"/>
        <n v="2006"/>
        <n v="2005"/>
        <n v="2004"/>
      </sharedItems>
    </cacheField>
    <cacheField name="Måned" numFmtId="0">
      <sharedItems containsSemiMixedTypes="0" containsString="0" containsNumber="1" containsInteger="1" minValue="1" maxValue="12"/>
    </cacheField>
    <cacheField name="Kvartal" numFmtId="165">
      <sharedItems containsSemiMixedTypes="0" containsString="0" containsNumber="1" containsInteger="1" minValue="1" maxValue="4" count="4">
        <n v="2"/>
        <n v="1"/>
        <n v="4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x v="0"/>
    <n v="1"/>
    <d v="2007-04-30T00:00:00"/>
    <s v="V-Tape"/>
    <n v="10000"/>
    <n v="1.5080640000000001"/>
    <n v="3"/>
    <n v="30000"/>
    <x v="0"/>
    <n v="4"/>
    <x v="0"/>
  </r>
  <r>
    <x v="1"/>
    <n v="1"/>
    <d v="2007-03-31T00:00:00"/>
    <s v="V-Tape"/>
    <n v="313"/>
    <n v="1.5080640000000001"/>
    <n v="3"/>
    <n v="939"/>
    <x v="0"/>
    <n v="3"/>
    <x v="1"/>
  </r>
  <r>
    <x v="2"/>
    <n v="1"/>
    <d v="2006-11-02T00:00:00"/>
    <s v="S-Ringbind-Gul"/>
    <n v="1651"/>
    <n v="6.03"/>
    <n v="12.18"/>
    <n v="20109.18"/>
    <x v="1"/>
    <n v="11"/>
    <x v="2"/>
  </r>
  <r>
    <x v="3"/>
    <n v="2"/>
    <d v="2007-03-31T00:00:00"/>
    <s v="V-Papir"/>
    <n v="1300"/>
    <n v="5.004390986602"/>
    <n v="10"/>
    <n v="13000"/>
    <x v="0"/>
    <n v="3"/>
    <x v="1"/>
  </r>
  <r>
    <x v="3"/>
    <n v="3"/>
    <d v="2007-03-31T00:00:00"/>
    <s v="S-Ringbind-Gul"/>
    <n v="1"/>
    <n v="6.03"/>
    <n v="12.18"/>
    <n v="12.18"/>
    <x v="0"/>
    <n v="3"/>
    <x v="1"/>
  </r>
  <r>
    <x v="3"/>
    <n v="4"/>
    <d v="2007-03-31T00:00:00"/>
    <s v="V-Tape"/>
    <n v="1959"/>
    <n v="1.5080640000000001"/>
    <n v="3"/>
    <n v="5877"/>
    <x v="0"/>
    <n v="3"/>
    <x v="1"/>
  </r>
  <r>
    <x v="4"/>
    <n v="2"/>
    <d v="2006-10-20T00:00:00"/>
    <s v="V-Index31"/>
    <n v="1550"/>
    <n v="30.002954638333001"/>
    <n v="35"/>
    <n v="54250"/>
    <x v="1"/>
    <n v="10"/>
    <x v="2"/>
  </r>
  <r>
    <x v="5"/>
    <n v="2"/>
    <d v="2006-01-31T00:00:00"/>
    <s v="V-Tape"/>
    <n v="1005"/>
    <n v="1.5080640000000001"/>
    <n v="3"/>
    <n v="3015"/>
    <x v="1"/>
    <n v="1"/>
    <x v="1"/>
  </r>
  <r>
    <x v="5"/>
    <n v="3"/>
    <d v="2006-01-31T00:00:00"/>
    <s v="V-Tape"/>
    <n v="1250"/>
    <n v="1.5080640000000001"/>
    <n v="3"/>
    <n v="3750"/>
    <x v="1"/>
    <n v="1"/>
    <x v="1"/>
  </r>
  <r>
    <x v="6"/>
    <n v="1"/>
    <d v="2007-02-28T00:00:00"/>
    <s v="V-Papir"/>
    <n v="1984"/>
    <n v="5.004390986602"/>
    <n v="10"/>
    <n v="19840"/>
    <x v="0"/>
    <n v="2"/>
    <x v="1"/>
  </r>
  <r>
    <x v="7"/>
    <n v="1"/>
    <d v="2006-09-17T00:00:00"/>
    <s v="S-Ringbind-Blå"/>
    <n v="1100"/>
    <n v="7.52"/>
    <n v="16.940000000000001"/>
    <n v="18634"/>
    <x v="1"/>
    <n v="9"/>
    <x v="3"/>
  </r>
  <r>
    <x v="8"/>
    <n v="3"/>
    <d v="2006-05-10T00:00:00"/>
    <s v="V-Papir"/>
    <n v="2171"/>
    <n v="5.004390986602"/>
    <n v="10"/>
    <n v="21710"/>
    <x v="1"/>
    <n v="5"/>
    <x v="0"/>
  </r>
  <r>
    <x v="9"/>
    <n v="2"/>
    <d v="2006-04-02T00:00:00"/>
    <s v="S-Ringbind-Sort"/>
    <n v="73"/>
    <n v="8.7344200000000001"/>
    <n v="14.63"/>
    <n v="1067.99"/>
    <x v="1"/>
    <n v="4"/>
    <x v="0"/>
  </r>
  <r>
    <x v="10"/>
    <n v="1"/>
    <d v="2006-02-17T00:00:00"/>
    <s v="V-Tape"/>
    <n v="476"/>
    <n v="1.5080640000000001"/>
    <n v="3"/>
    <n v="1428"/>
    <x v="1"/>
    <n v="2"/>
    <x v="1"/>
  </r>
  <r>
    <x v="10"/>
    <n v="2"/>
    <d v="2006-02-17T00:00:00"/>
    <s v="S-Ringbind-Rød"/>
    <n v="762"/>
    <n v="6.26"/>
    <n v="12.18"/>
    <n v="9281.16"/>
    <x v="1"/>
    <n v="2"/>
    <x v="1"/>
  </r>
  <r>
    <x v="11"/>
    <n v="1"/>
    <d v="2005-06-30T00:00:00"/>
    <s v="S-Ringbind-Blå"/>
    <n v="700"/>
    <n v="7.52"/>
    <n v="16.940000000000001"/>
    <n v="11858"/>
    <x v="2"/>
    <n v="6"/>
    <x v="0"/>
  </r>
  <r>
    <x v="11"/>
    <n v="2"/>
    <d v="2005-06-30T00:00:00"/>
    <s v="S-Ringbind-Sort"/>
    <n v="1112"/>
    <n v="8.7344200000000001"/>
    <n v="14.63"/>
    <n v="16268.560000000001"/>
    <x v="2"/>
    <n v="6"/>
    <x v="0"/>
  </r>
  <r>
    <x v="11"/>
    <n v="3"/>
    <d v="2005-06-30T00:00:00"/>
    <s v="S-Ringbind-Rød"/>
    <n v="1818"/>
    <n v="6.26"/>
    <n v="12.18"/>
    <n v="22143.239999999998"/>
    <x v="2"/>
    <n v="6"/>
    <x v="0"/>
  </r>
  <r>
    <x v="12"/>
    <n v="1"/>
    <d v="2005-04-29T00:00:00"/>
    <s v="S-Ringbind-Rød"/>
    <n v="13"/>
    <n v="6.26"/>
    <n v="12.18"/>
    <n v="158.34"/>
    <x v="2"/>
    <n v="4"/>
    <x v="0"/>
  </r>
  <r>
    <x v="12"/>
    <n v="2"/>
    <d v="2005-04-29T00:00:00"/>
    <s v="S-Ringbind-Gul"/>
    <n v="227"/>
    <n v="6.03"/>
    <n v="12.18"/>
    <n v="2764.86"/>
    <x v="2"/>
    <n v="4"/>
    <x v="0"/>
  </r>
  <r>
    <x v="12"/>
    <n v="5"/>
    <d v="2005-04-29T00:00:00"/>
    <s v="V-Index31"/>
    <n v="426"/>
    <n v="30.002954638333001"/>
    <n v="35"/>
    <n v="14910"/>
    <x v="2"/>
    <n v="4"/>
    <x v="0"/>
  </r>
  <r>
    <x v="12"/>
    <n v="7"/>
    <d v="2005-04-29T00:00:00"/>
    <s v="S-Ringbind-Rød"/>
    <n v="868"/>
    <n v="6.26"/>
    <n v="12.18"/>
    <n v="10572.24"/>
    <x v="2"/>
    <n v="4"/>
    <x v="0"/>
  </r>
  <r>
    <x v="13"/>
    <n v="1"/>
    <d v="2005-04-29T00:00:00"/>
    <s v="S-Ringbind-Blå"/>
    <n v="555"/>
    <n v="7.52"/>
    <n v="16.940000000000001"/>
    <n v="9401.7000000000007"/>
    <x v="2"/>
    <n v="4"/>
    <x v="0"/>
  </r>
  <r>
    <x v="14"/>
    <n v="1"/>
    <d v="2005-04-29T00:00:00"/>
    <s v="V-Index31"/>
    <n v="1914"/>
    <n v="30.002954638333001"/>
    <n v="35"/>
    <n v="66990"/>
    <x v="2"/>
    <n v="4"/>
    <x v="0"/>
  </r>
  <r>
    <x v="14"/>
    <n v="2"/>
    <d v="2005-04-29T00:00:00"/>
    <s v="V-Tape"/>
    <n v="319"/>
    <n v="1.5080640000000001"/>
    <n v="3"/>
    <n v="957"/>
    <x v="2"/>
    <n v="4"/>
    <x v="0"/>
  </r>
  <r>
    <x v="14"/>
    <n v="3"/>
    <d v="2005-04-29T00:00:00"/>
    <s v="S-Ringbind-Gul"/>
    <n v="775"/>
    <n v="6.03"/>
    <n v="12.18"/>
    <n v="9439.5"/>
    <x v="2"/>
    <n v="4"/>
    <x v="0"/>
  </r>
  <r>
    <x v="15"/>
    <n v="1"/>
    <d v="2005-03-31T00:00:00"/>
    <s v="V-Index31"/>
    <n v="865"/>
    <n v="30.002954638333001"/>
    <n v="35"/>
    <n v="30275"/>
    <x v="2"/>
    <n v="3"/>
    <x v="1"/>
  </r>
  <r>
    <x v="15"/>
    <n v="3"/>
    <d v="2005-03-31T00:00:00"/>
    <s v="V-Tape"/>
    <n v="781"/>
    <n v="1.5080640000000001"/>
    <n v="3"/>
    <n v="2343"/>
    <x v="2"/>
    <n v="3"/>
    <x v="1"/>
  </r>
  <r>
    <x v="16"/>
    <n v="1"/>
    <d v="2005-02-27T00:00:00"/>
    <s v="V-Tape"/>
    <n v="282"/>
    <n v="1.5080640000000001"/>
    <n v="3"/>
    <n v="846"/>
    <x v="2"/>
    <n v="2"/>
    <x v="1"/>
  </r>
  <r>
    <x v="16"/>
    <n v="2"/>
    <d v="2005-02-27T00:00:00"/>
    <s v="S-Ringbind-Blå"/>
    <n v="1681"/>
    <n v="7.52"/>
    <n v="16.940000000000001"/>
    <n v="28476.140000000003"/>
    <x v="2"/>
    <n v="2"/>
    <x v="1"/>
  </r>
  <r>
    <x v="16"/>
    <n v="3"/>
    <d v="2005-02-27T00:00:00"/>
    <s v="S-Ringbind-Sort"/>
    <n v="515"/>
    <n v="8.7344200000000001"/>
    <n v="14.63"/>
    <n v="7534.4500000000007"/>
    <x v="2"/>
    <n v="2"/>
    <x v="1"/>
  </r>
  <r>
    <x v="17"/>
    <n v="2"/>
    <d v="2005-02-27T00:00:00"/>
    <s v="S-Ringbind-Sort"/>
    <n v="976"/>
    <n v="8.7344200000000001"/>
    <n v="14.63"/>
    <n v="14278.880000000001"/>
    <x v="2"/>
    <n v="2"/>
    <x v="1"/>
  </r>
  <r>
    <x v="18"/>
    <n v="2"/>
    <d v="2005-01-31T00:00:00"/>
    <s v="S-Ringbind-Sort"/>
    <n v="377"/>
    <n v="8.7344200000000001"/>
    <n v="14.63"/>
    <n v="5515.51"/>
    <x v="2"/>
    <n v="1"/>
    <x v="1"/>
  </r>
  <r>
    <x v="19"/>
    <n v="2"/>
    <d v="2004-12-31T00:00:00"/>
    <s v="V-Papir"/>
    <n v="1338"/>
    <n v="5.004390986602"/>
    <n v="10"/>
    <n v="13380"/>
    <x v="3"/>
    <n v="12"/>
    <x v="2"/>
  </r>
  <r>
    <x v="20"/>
    <n v="1"/>
    <d v="2004-11-30T00:00:00"/>
    <s v="S-Ringbind-Gul"/>
    <n v="4"/>
    <n v="6.03"/>
    <n v="12.18"/>
    <n v="48.72"/>
    <x v="3"/>
    <n v="11"/>
    <x v="2"/>
  </r>
  <r>
    <x v="20"/>
    <n v="2"/>
    <d v="2004-11-30T00:00:00"/>
    <s v="V-Index31"/>
    <n v="1729"/>
    <n v="30.002954638333001"/>
    <n v="35"/>
    <n v="60515"/>
    <x v="3"/>
    <n v="11"/>
    <x v="2"/>
  </r>
  <r>
    <x v="20"/>
    <n v="3"/>
    <d v="2004-11-30T00:00:00"/>
    <s v="V-Index31"/>
    <n v="636"/>
    <n v="30.002954638333001"/>
    <n v="35"/>
    <n v="22260"/>
    <x v="3"/>
    <n v="11"/>
    <x v="2"/>
  </r>
  <r>
    <x v="20"/>
    <n v="4"/>
    <d v="2004-11-30T00:00:00"/>
    <s v="S-Ringbind-Gul"/>
    <n v="779"/>
    <n v="6.03"/>
    <n v="12.18"/>
    <n v="9488.2199999999993"/>
    <x v="3"/>
    <n v="11"/>
    <x v="2"/>
  </r>
  <r>
    <x v="21"/>
    <n v="1"/>
    <d v="2004-10-30T00:00:00"/>
    <s v="S-Ringbind-Rød"/>
    <n v="634"/>
    <n v="6.26"/>
    <n v="12.18"/>
    <n v="7722.12"/>
    <x v="3"/>
    <n v="10"/>
    <x v="2"/>
  </r>
  <r>
    <x v="22"/>
    <n v="2"/>
    <d v="2004-10-30T00:00:00"/>
    <s v="V-Tape"/>
    <n v="768"/>
    <n v="1.5080640000000001"/>
    <n v="3"/>
    <n v="2304"/>
    <x v="3"/>
    <n v="10"/>
    <x v="2"/>
  </r>
  <r>
    <x v="22"/>
    <n v="3"/>
    <d v="2004-10-30T00:00:00"/>
    <s v="S-Ringbind-Blå"/>
    <n v="1656"/>
    <n v="7.52"/>
    <n v="16.940000000000001"/>
    <n v="28052.640000000003"/>
    <x v="3"/>
    <n v="10"/>
    <x v="2"/>
  </r>
  <r>
    <x v="22"/>
    <n v="5"/>
    <d v="2004-10-30T00:00:00"/>
    <s v="S-Ringbind-Gul"/>
    <n v="1144"/>
    <n v="6.03"/>
    <n v="12.18"/>
    <n v="13933.92"/>
    <x v="3"/>
    <n v="10"/>
    <x v="2"/>
  </r>
  <r>
    <x v="23"/>
    <n v="1"/>
    <d v="2004-09-30T00:00:00"/>
    <s v="S-Ringbind-Blå"/>
    <n v="1367"/>
    <n v="7.52"/>
    <n v="16.940000000000001"/>
    <n v="23156.980000000003"/>
    <x v="3"/>
    <n v="9"/>
    <x v="3"/>
  </r>
  <r>
    <x v="23"/>
    <n v="2"/>
    <d v="2004-09-30T00:00:00"/>
    <s v="V-Tape"/>
    <n v="1842"/>
    <n v="1.5080640000000001"/>
    <n v="3"/>
    <n v="5526"/>
    <x v="3"/>
    <n v="9"/>
    <x v="3"/>
  </r>
  <r>
    <x v="23"/>
    <n v="3"/>
    <d v="2004-09-30T00:00:00"/>
    <s v="S-Ringbind-Blå"/>
    <n v="291"/>
    <n v="7.52"/>
    <n v="16.940000000000001"/>
    <n v="4929.54"/>
    <x v="3"/>
    <n v="9"/>
    <x v="3"/>
  </r>
  <r>
    <x v="23"/>
    <n v="5"/>
    <d v="2004-09-30T00:00:00"/>
    <s v="V-Index31"/>
    <n v="1174"/>
    <n v="30.002954638333001"/>
    <n v="35"/>
    <n v="41090"/>
    <x v="3"/>
    <n v="9"/>
    <x v="3"/>
  </r>
  <r>
    <x v="24"/>
    <n v="3"/>
    <d v="2004-08-31T00:00:00"/>
    <s v="S-Ringbind-Rød"/>
    <n v="1563"/>
    <n v="6.26"/>
    <n v="12.18"/>
    <n v="19037.34"/>
    <x v="3"/>
    <n v="8"/>
    <x v="3"/>
  </r>
  <r>
    <x v="24"/>
    <n v="4"/>
    <d v="2004-08-31T00:00:00"/>
    <s v="V-Papir"/>
    <n v="571"/>
    <n v="5.004390986602"/>
    <n v="10"/>
    <n v="5710"/>
    <x v="3"/>
    <n v="8"/>
    <x v="3"/>
  </r>
  <r>
    <x v="24"/>
    <n v="5"/>
    <d v="2004-08-31T00:00:00"/>
    <s v="S-Ringbind-Gul"/>
    <n v="722"/>
    <n v="6.03"/>
    <n v="12.18"/>
    <n v="8793.9599999999991"/>
    <x v="3"/>
    <n v="8"/>
    <x v="3"/>
  </r>
  <r>
    <x v="25"/>
    <n v="1"/>
    <d v="2004-07-31T00:00:00"/>
    <s v="V-Tape"/>
    <n v="1839"/>
    <n v="1.5080640000000001"/>
    <n v="3"/>
    <n v="5517"/>
    <x v="3"/>
    <n v="7"/>
    <x v="3"/>
  </r>
  <r>
    <x v="25"/>
    <n v="2"/>
    <d v="2004-07-31T00:00:00"/>
    <s v="S-Ringbind-Gul"/>
    <n v="806"/>
    <n v="6.03"/>
    <n v="12.18"/>
    <n v="9817.08"/>
    <x v="3"/>
    <n v="7"/>
    <x v="3"/>
  </r>
  <r>
    <x v="25"/>
    <n v="3"/>
    <d v="2004-07-31T00:00:00"/>
    <s v="V-Papir"/>
    <n v="1853"/>
    <n v="5.004390986602"/>
    <n v="10"/>
    <n v="18530"/>
    <x v="3"/>
    <n v="7"/>
    <x v="3"/>
  </r>
  <r>
    <x v="25"/>
    <n v="4"/>
    <d v="2004-07-31T00:00:00"/>
    <s v="S-Ringbind-Gul"/>
    <n v="207"/>
    <n v="6.03"/>
    <n v="12.18"/>
    <n v="2521.2599999999998"/>
    <x v="3"/>
    <n v="7"/>
    <x v="3"/>
  </r>
  <r>
    <x v="25"/>
    <n v="7"/>
    <d v="2004-07-31T00:00:00"/>
    <s v="S-Ringbind-Blå"/>
    <n v="763"/>
    <n v="7.52"/>
    <n v="16.940000000000001"/>
    <n v="12925.220000000001"/>
    <x v="3"/>
    <n v="7"/>
    <x v="3"/>
  </r>
  <r>
    <x v="26"/>
    <n v="3"/>
    <d v="2004-06-30T00:00:00"/>
    <s v="V-Index31"/>
    <n v="111"/>
    <n v="30.002954638333001"/>
    <n v="35"/>
    <n v="3885"/>
    <x v="3"/>
    <n v="6"/>
    <x v="0"/>
  </r>
  <r>
    <x v="26"/>
    <n v="4"/>
    <d v="2004-06-30T00:00:00"/>
    <s v="S-Ringbind-Rød"/>
    <n v="334"/>
    <n v="6.26"/>
    <n v="12.18"/>
    <n v="4068.12"/>
    <x v="3"/>
    <n v="6"/>
    <x v="0"/>
  </r>
  <r>
    <x v="26"/>
    <n v="5"/>
    <d v="2004-06-30T00:00:00"/>
    <s v="V-Tape"/>
    <n v="772"/>
    <n v="1.5080640000000001"/>
    <n v="3"/>
    <n v="2316"/>
    <x v="3"/>
    <n v="6"/>
    <x v="0"/>
  </r>
  <r>
    <x v="26"/>
    <n v="6"/>
    <d v="2004-06-30T00:00:00"/>
    <s v="S-Ringbind-Rød"/>
    <n v="54"/>
    <n v="6.26"/>
    <n v="12.18"/>
    <n v="657.72"/>
    <x v="3"/>
    <n v="6"/>
    <x v="0"/>
  </r>
  <r>
    <x v="27"/>
    <n v="1"/>
    <d v="2004-05-31T00:00:00"/>
    <s v="V-Tape"/>
    <n v="191"/>
    <n v="1.5080640000000001"/>
    <n v="3"/>
    <n v="573"/>
    <x v="3"/>
    <n v="5"/>
    <x v="0"/>
  </r>
  <r>
    <x v="27"/>
    <n v="3"/>
    <d v="2004-05-31T00:00:00"/>
    <s v="S-Ringbind-Rød"/>
    <n v="274"/>
    <n v="6.26"/>
    <n v="12.18"/>
    <n v="3337.3199999999997"/>
    <x v="3"/>
    <n v="5"/>
    <x v="0"/>
  </r>
  <r>
    <x v="27"/>
    <n v="4"/>
    <d v="2004-05-31T00:00:00"/>
    <s v="V-Index31"/>
    <n v="903"/>
    <n v="30.002954638333001"/>
    <n v="35"/>
    <n v="31605"/>
    <x v="3"/>
    <n v="5"/>
    <x v="0"/>
  </r>
  <r>
    <x v="27"/>
    <n v="5"/>
    <d v="2004-05-31T00:00:00"/>
    <s v="S-Ringbind-Rød"/>
    <n v="1159"/>
    <n v="6.26"/>
    <n v="12.18"/>
    <n v="14116.619999999999"/>
    <x v="3"/>
    <n v="5"/>
    <x v="0"/>
  </r>
  <r>
    <x v="27"/>
    <n v="6"/>
    <d v="2004-05-31T00:00:00"/>
    <s v="S-Ringbind-Sort"/>
    <n v="163"/>
    <n v="8.7344200000000001"/>
    <n v="14.63"/>
    <n v="2384.69"/>
    <x v="3"/>
    <n v="5"/>
    <x v="0"/>
  </r>
  <r>
    <x v="27"/>
    <n v="7"/>
    <d v="2004-05-31T00:00:00"/>
    <s v="V-Tape"/>
    <n v="971"/>
    <n v="1.5080640000000001"/>
    <n v="3"/>
    <n v="2913"/>
    <x v="3"/>
    <n v="5"/>
    <x v="0"/>
  </r>
  <r>
    <x v="28"/>
    <n v="2"/>
    <d v="2004-05-31T00:00:00"/>
    <s v="V-Tape"/>
    <n v="492"/>
    <n v="1.5080640000000001"/>
    <n v="3"/>
    <n v="1476"/>
    <x v="3"/>
    <n v="5"/>
    <x v="0"/>
  </r>
  <r>
    <x v="28"/>
    <n v="3"/>
    <d v="2004-05-31T00:00:00"/>
    <s v="S-Ringbind-Sort"/>
    <n v="1015"/>
    <n v="8.7344200000000001"/>
    <n v="14.63"/>
    <n v="14849.45"/>
    <x v="3"/>
    <n v="5"/>
    <x v="0"/>
  </r>
  <r>
    <x v="28"/>
    <n v="4"/>
    <d v="2004-05-31T00:00:00"/>
    <s v="V-Tape"/>
    <n v="911"/>
    <n v="1.5080640000000001"/>
    <n v="3"/>
    <n v="2733"/>
    <x v="3"/>
    <n v="5"/>
    <x v="0"/>
  </r>
  <r>
    <x v="29"/>
    <n v="1"/>
    <d v="2004-05-31T00:00:00"/>
    <s v="S-Ringbind-Gul"/>
    <n v="1517"/>
    <n v="6.03"/>
    <n v="12.18"/>
    <n v="18477.060000000001"/>
    <x v="3"/>
    <n v="5"/>
    <x v="0"/>
  </r>
  <r>
    <x v="30"/>
    <n v="1"/>
    <d v="2004-02-28T00:00:00"/>
    <s v="V-Index31"/>
    <n v="1024"/>
    <n v="30.002954638333001"/>
    <n v="35"/>
    <n v="35840"/>
    <x v="3"/>
    <n v="2"/>
    <x v="1"/>
  </r>
  <r>
    <x v="30"/>
    <n v="2"/>
    <d v="2004-02-28T00:00:00"/>
    <s v="S-Ringbind-Gul"/>
    <n v="1344"/>
    <n v="6.03"/>
    <n v="12.18"/>
    <n v="16369.92"/>
    <x v="3"/>
    <n v="2"/>
    <x v="1"/>
  </r>
  <r>
    <x v="30"/>
    <n v="3"/>
    <d v="2004-02-28T00:00:00"/>
    <s v="S-Ringbind-Blå"/>
    <n v="521"/>
    <n v="7.52"/>
    <n v="16.940000000000001"/>
    <n v="8825.74"/>
    <x v="3"/>
    <n v="2"/>
    <x v="1"/>
  </r>
  <r>
    <x v="30"/>
    <n v="5"/>
    <d v="2004-02-28T00:00:00"/>
    <s v="S-Ringbind-Blå"/>
    <n v="1816"/>
    <n v="7.52"/>
    <n v="16.940000000000001"/>
    <n v="30763.040000000001"/>
    <x v="3"/>
    <n v="2"/>
    <x v="1"/>
  </r>
  <r>
    <x v="31"/>
    <n v="1"/>
    <d v="2006-03-25T00:00:00"/>
    <s v="S-Ringbind-Blå"/>
    <n v="5000"/>
    <n v="7.52"/>
    <n v="16.940000000000001"/>
    <n v="84700"/>
    <x v="1"/>
    <n v="3"/>
    <x v="1"/>
  </r>
  <r>
    <x v="31"/>
    <n v="2"/>
    <d v="2006-03-25T00:00:00"/>
    <s v="S-Ringbind-Gul"/>
    <n v="1000"/>
    <n v="6.03"/>
    <n v="12.18"/>
    <n v="12180"/>
    <x v="1"/>
    <n v="3"/>
    <x v="1"/>
  </r>
  <r>
    <x v="31"/>
    <n v="3"/>
    <d v="2006-03-25T00:00:00"/>
    <s v="V-Papir"/>
    <n v="2000"/>
    <n v="5.004390986602"/>
    <n v="10"/>
    <n v="20000"/>
    <x v="1"/>
    <n v="3"/>
    <x v="1"/>
  </r>
  <r>
    <x v="31"/>
    <n v="4"/>
    <d v="2006-03-25T00:00:00"/>
    <s v="S-Ringbind-Rød"/>
    <n v="1500"/>
    <n v="6.26"/>
    <n v="12.18"/>
    <n v="18270"/>
    <x v="1"/>
    <n v="3"/>
    <x v="1"/>
  </r>
  <r>
    <x v="31"/>
    <n v="5"/>
    <d v="2006-03-25T00:00:00"/>
    <s v="S-Ringbind-Sort"/>
    <n v="5000"/>
    <n v="8.7344200000000001"/>
    <n v="14.63"/>
    <n v="73150"/>
    <x v="1"/>
    <n v="3"/>
    <x v="1"/>
  </r>
  <r>
    <x v="32"/>
    <n v="3"/>
    <d v="2006-08-31T00:00:00"/>
    <s v="V-Papir"/>
    <n v="1686"/>
    <n v="5.004390986602"/>
    <n v="10"/>
    <n v="16860"/>
    <x v="1"/>
    <n v="8"/>
    <x v="3"/>
  </r>
  <r>
    <x v="33"/>
    <n v="1"/>
    <d v="2005-08-31T00:00:00"/>
    <s v="V-Tape"/>
    <n v="1517"/>
    <n v="1.5080640000000001"/>
    <n v="3"/>
    <n v="4551"/>
    <x v="2"/>
    <n v="8"/>
    <x v="3"/>
  </r>
  <r>
    <x v="33"/>
    <n v="2"/>
    <d v="2005-08-31T00:00:00"/>
    <s v="V-Index31"/>
    <n v="544"/>
    <n v="30.002954638333001"/>
    <n v="35"/>
    <n v="19040"/>
    <x v="2"/>
    <n v="8"/>
    <x v="3"/>
  </r>
  <r>
    <x v="34"/>
    <n v="2"/>
    <d v="2005-03-31T00:00:00"/>
    <s v="V-Index31"/>
    <n v="986"/>
    <n v="30.002954638333001"/>
    <n v="35"/>
    <n v="34510"/>
    <x v="2"/>
    <n v="3"/>
    <x v="1"/>
  </r>
  <r>
    <x v="34"/>
    <n v="3"/>
    <d v="2005-03-31T00:00:00"/>
    <s v="V-Tape"/>
    <n v="1512"/>
    <n v="1.5080640000000001"/>
    <n v="3"/>
    <n v="4536"/>
    <x v="2"/>
    <n v="3"/>
    <x v="1"/>
  </r>
  <r>
    <x v="34"/>
    <n v="4"/>
    <d v="2005-03-31T00:00:00"/>
    <s v="V-Papir"/>
    <n v="440"/>
    <n v="5.004390986602"/>
    <n v="10"/>
    <n v="4400"/>
    <x v="2"/>
    <n v="3"/>
    <x v="1"/>
  </r>
  <r>
    <x v="34"/>
    <n v="5"/>
    <d v="2005-03-31T00:00:00"/>
    <s v="S-Ringbind-Gul"/>
    <n v="106"/>
    <n v="6.03"/>
    <n v="12.18"/>
    <n v="1291.08"/>
    <x v="2"/>
    <n v="3"/>
    <x v="1"/>
  </r>
  <r>
    <x v="34"/>
    <n v="6"/>
    <d v="2005-03-31T00:00:00"/>
    <s v="S-Ringbind-Rød"/>
    <n v="1090"/>
    <n v="6.26"/>
    <n v="12.18"/>
    <n v="13276.199999999999"/>
    <x v="2"/>
    <n v="3"/>
    <x v="1"/>
  </r>
  <r>
    <x v="35"/>
    <n v="1"/>
    <d v="2005-01-31T00:00:00"/>
    <s v="S-Ringbind-Sort"/>
    <n v="1154"/>
    <n v="8.7344200000000001"/>
    <n v="14.63"/>
    <n v="16883.02"/>
    <x v="2"/>
    <n v="1"/>
    <x v="1"/>
  </r>
  <r>
    <x v="35"/>
    <n v="2"/>
    <d v="2005-01-31T00:00:00"/>
    <s v="S-Ringbind-Gul"/>
    <n v="1865"/>
    <n v="6.03"/>
    <n v="12.18"/>
    <n v="22715.7"/>
    <x v="2"/>
    <n v="1"/>
    <x v="1"/>
  </r>
  <r>
    <x v="35"/>
    <n v="3"/>
    <d v="2005-01-31T00:00:00"/>
    <s v="V-Tape"/>
    <n v="1434"/>
    <n v="1.5080640000000001"/>
    <n v="3"/>
    <n v="4302"/>
    <x v="2"/>
    <n v="1"/>
    <x v="1"/>
  </r>
  <r>
    <x v="36"/>
    <n v="1"/>
    <d v="2005-01-31T00:00:00"/>
    <s v="S-Ringbind-Sort"/>
    <n v="1986"/>
    <n v="8.7344200000000001"/>
    <n v="14.63"/>
    <n v="29055.18"/>
    <x v="2"/>
    <n v="1"/>
    <x v="1"/>
  </r>
  <r>
    <x v="36"/>
    <n v="2"/>
    <d v="2005-01-31T00:00:00"/>
    <s v="V-Index31"/>
    <n v="1074"/>
    <n v="30.002954638333001"/>
    <n v="35"/>
    <n v="37590"/>
    <x v="2"/>
    <n v="1"/>
    <x v="1"/>
  </r>
  <r>
    <x v="36"/>
    <n v="3"/>
    <d v="2005-01-31T00:00:00"/>
    <s v="S-Ringbind-Gul"/>
    <n v="68"/>
    <n v="6.03"/>
    <n v="12.18"/>
    <n v="828.24"/>
    <x v="2"/>
    <n v="1"/>
    <x v="1"/>
  </r>
  <r>
    <x v="37"/>
    <n v="4"/>
    <d v="2004-07-31T00:00:00"/>
    <s v="S-Ringbind-Blå"/>
    <n v="103"/>
    <n v="7.52"/>
    <n v="16.940000000000001"/>
    <n v="1744.8200000000002"/>
    <x v="3"/>
    <n v="7"/>
    <x v="3"/>
  </r>
  <r>
    <x v="37"/>
    <n v="6"/>
    <d v="2004-07-31T00:00:00"/>
    <s v="V-Index31"/>
    <n v="1609"/>
    <n v="30.002954638333001"/>
    <n v="35"/>
    <n v="56315"/>
    <x v="3"/>
    <n v="7"/>
    <x v="3"/>
  </r>
  <r>
    <x v="38"/>
    <n v="1"/>
    <d v="2004-05-31T00:00:00"/>
    <s v="S-Ringbind-Sort"/>
    <n v="1066"/>
    <n v="8.7344200000000001"/>
    <n v="14.63"/>
    <n v="15595.58"/>
    <x v="3"/>
    <n v="5"/>
    <x v="0"/>
  </r>
  <r>
    <x v="38"/>
    <n v="2"/>
    <d v="2004-05-31T00:00:00"/>
    <s v="V-Tape"/>
    <n v="1002"/>
    <n v="1.5080640000000001"/>
    <n v="3"/>
    <n v="3006"/>
    <x v="3"/>
    <n v="5"/>
    <x v="0"/>
  </r>
  <r>
    <x v="38"/>
    <n v="3"/>
    <d v="2004-05-31T00:00:00"/>
    <s v="S-Ringbind-Sort"/>
    <n v="1171"/>
    <n v="8.7344200000000001"/>
    <n v="14.63"/>
    <n v="17131.73"/>
    <x v="3"/>
    <n v="5"/>
    <x v="0"/>
  </r>
  <r>
    <x v="39"/>
    <n v="1"/>
    <d v="2004-04-30T00:00:00"/>
    <s v="S-Ringbind-Rød"/>
    <n v="236"/>
    <n v="6.26"/>
    <n v="12.18"/>
    <n v="2874.48"/>
    <x v="3"/>
    <n v="4"/>
    <x v="0"/>
  </r>
  <r>
    <x v="39"/>
    <n v="2"/>
    <d v="2004-04-30T00:00:00"/>
    <s v="S-Ringbind-Rød"/>
    <n v="1929"/>
    <n v="6.26"/>
    <n v="12.18"/>
    <n v="23495.22"/>
    <x v="3"/>
    <n v="4"/>
    <x v="0"/>
  </r>
  <r>
    <x v="39"/>
    <n v="3"/>
    <d v="2004-04-30T00:00:00"/>
    <s v="V-Papir"/>
    <n v="1542"/>
    <n v="5.004390986602"/>
    <n v="10"/>
    <n v="15420"/>
    <x v="3"/>
    <n v="4"/>
    <x v="0"/>
  </r>
  <r>
    <x v="40"/>
    <n v="3"/>
    <d v="2004-04-30T00:00:00"/>
    <s v="S-Ringbind-Rød"/>
    <n v="1954"/>
    <n v="6.26"/>
    <n v="12.18"/>
    <n v="23799.72"/>
    <x v="3"/>
    <n v="4"/>
    <x v="0"/>
  </r>
  <r>
    <x v="40"/>
    <n v="4"/>
    <d v="2004-04-30T00:00:00"/>
    <s v="V-Papir"/>
    <n v="1408"/>
    <n v="5.004390986602"/>
    <n v="10"/>
    <n v="14080"/>
    <x v="3"/>
    <n v="4"/>
    <x v="0"/>
  </r>
  <r>
    <x v="40"/>
    <n v="5"/>
    <d v="2004-04-30T00:00:00"/>
    <s v="V-Tape"/>
    <n v="800"/>
    <n v="1.5080640000000001"/>
    <n v="3"/>
    <n v="2400"/>
    <x v="3"/>
    <n v="4"/>
    <x v="0"/>
  </r>
  <r>
    <x v="41"/>
    <n v="2"/>
    <d v="2004-03-31T00:00:00"/>
    <s v="S-Ringbind-Blå"/>
    <n v="623"/>
    <n v="7.52"/>
    <n v="16.940000000000001"/>
    <n v="10553.62"/>
    <x v="3"/>
    <n v="3"/>
    <x v="1"/>
  </r>
  <r>
    <x v="41"/>
    <n v="3"/>
    <d v="2004-03-31T00:00:00"/>
    <s v="V-Index31"/>
    <n v="315"/>
    <n v="30.002954638333001"/>
    <n v="35"/>
    <n v="11025"/>
    <x v="3"/>
    <n v="3"/>
    <x v="1"/>
  </r>
  <r>
    <x v="41"/>
    <n v="4"/>
    <d v="2004-03-31T00:00:00"/>
    <s v="S-Ringbind-Sort"/>
    <n v="1392"/>
    <n v="8.7344200000000001"/>
    <n v="14.63"/>
    <n v="20364.960000000003"/>
    <x v="3"/>
    <n v="3"/>
    <x v="1"/>
  </r>
  <r>
    <x v="42"/>
    <n v="1"/>
    <d v="2004-02-28T00:00:00"/>
    <s v="S-Ringbind-Gul"/>
    <n v="786"/>
    <n v="6.03"/>
    <n v="12.18"/>
    <n v="9573.48"/>
    <x v="3"/>
    <n v="2"/>
    <x v="1"/>
  </r>
  <r>
    <x v="42"/>
    <n v="2"/>
    <d v="2004-02-28T00:00:00"/>
    <s v="V-Index31"/>
    <n v="1511"/>
    <n v="30.002954638333001"/>
    <n v="35"/>
    <n v="52885"/>
    <x v="3"/>
    <n v="2"/>
    <x v="1"/>
  </r>
  <r>
    <x v="43"/>
    <n v="1"/>
    <d v="2007-04-30T00:00:00"/>
    <s v="S-Ringbind-Sort"/>
    <n v="2000"/>
    <n v="8.7344200000000001"/>
    <n v="14.63"/>
    <n v="29260"/>
    <x v="0"/>
    <n v="4"/>
    <x v="0"/>
  </r>
  <r>
    <x v="44"/>
    <n v="1"/>
    <d v="2007-04-30T00:00:00"/>
    <s v="S-Ringbind-Sort"/>
    <n v="1505"/>
    <n v="8.7344200000000001"/>
    <n v="14.63"/>
    <n v="22018.15"/>
    <x v="0"/>
    <n v="4"/>
    <x v="0"/>
  </r>
  <r>
    <x v="44"/>
    <n v="2"/>
    <d v="2007-04-30T00:00:00"/>
    <s v="S-Ringbind-Gul"/>
    <n v="2001"/>
    <n v="6.03"/>
    <n v="12.18"/>
    <n v="24372.18"/>
    <x v="0"/>
    <n v="4"/>
    <x v="0"/>
  </r>
  <r>
    <x v="45"/>
    <n v="2"/>
    <d v="2006-01-19T00:00:00"/>
    <s v="S-Ringbind-Blå"/>
    <n v="1843"/>
    <n v="7.52"/>
    <n v="16.940000000000001"/>
    <n v="31220.420000000002"/>
    <x v="1"/>
    <n v="1"/>
    <x v="1"/>
  </r>
  <r>
    <x v="45"/>
    <n v="3"/>
    <d v="2006-01-19T00:00:00"/>
    <s v="V-Tape"/>
    <n v="514"/>
    <n v="1.5080640000000001"/>
    <n v="3"/>
    <n v="1542"/>
    <x v="1"/>
    <n v="1"/>
    <x v="1"/>
  </r>
  <r>
    <x v="45"/>
    <n v="4"/>
    <d v="2006-01-19T00:00:00"/>
    <s v="V-Tape"/>
    <n v="972"/>
    <n v="1.5080640000000001"/>
    <n v="3"/>
    <n v="2916"/>
    <x v="1"/>
    <n v="1"/>
    <x v="1"/>
  </r>
  <r>
    <x v="46"/>
    <n v="1"/>
    <d v="2005-03-31T00:00:00"/>
    <s v="S-Ringbind-Blå"/>
    <n v="1732"/>
    <n v="7.52"/>
    <n v="16.940000000000001"/>
    <n v="29340.080000000002"/>
    <x v="2"/>
    <n v="3"/>
    <x v="1"/>
  </r>
  <r>
    <x v="46"/>
    <n v="4"/>
    <d v="2005-03-31T00:00:00"/>
    <s v="V-Index31"/>
    <n v="1094"/>
    <n v="30.002954638333001"/>
    <n v="35"/>
    <n v="38290"/>
    <x v="2"/>
    <n v="3"/>
    <x v="1"/>
  </r>
  <r>
    <x v="46"/>
    <n v="5"/>
    <d v="2005-03-31T00:00:00"/>
    <s v="V-Index31"/>
    <n v="1992"/>
    <n v="30.002954638333001"/>
    <n v="35"/>
    <n v="69720"/>
    <x v="2"/>
    <n v="3"/>
    <x v="1"/>
  </r>
  <r>
    <x v="47"/>
    <n v="1"/>
    <d v="2005-03-31T00:00:00"/>
    <s v="S-Ringbind-Sort"/>
    <n v="504"/>
    <n v="8.7344200000000001"/>
    <n v="14.63"/>
    <n v="7373.52"/>
    <x v="2"/>
    <n v="3"/>
    <x v="1"/>
  </r>
  <r>
    <x v="47"/>
    <n v="2"/>
    <d v="2005-03-31T00:00:00"/>
    <s v="S-Ringbind-Rød"/>
    <n v="1488"/>
    <n v="6.26"/>
    <n v="12.18"/>
    <n v="18123.84"/>
    <x v="2"/>
    <n v="3"/>
    <x v="1"/>
  </r>
  <r>
    <x v="47"/>
    <n v="3"/>
    <d v="2005-03-31T00:00:00"/>
    <s v="S-Ringbind-Gul"/>
    <n v="1838"/>
    <n v="6.03"/>
    <n v="12.18"/>
    <n v="22386.84"/>
    <x v="2"/>
    <n v="3"/>
    <x v="1"/>
  </r>
  <r>
    <x v="48"/>
    <n v="1"/>
    <d v="2005-02-27T00:00:00"/>
    <s v="S-Ringbind-Gul"/>
    <n v="348"/>
    <n v="6.03"/>
    <n v="12.18"/>
    <n v="4238.6400000000003"/>
    <x v="2"/>
    <n v="2"/>
    <x v="1"/>
  </r>
  <r>
    <x v="48"/>
    <n v="3"/>
    <d v="2005-02-27T00:00:00"/>
    <s v="V-Papir"/>
    <n v="276"/>
    <n v="5.004390986602"/>
    <n v="10"/>
    <n v="2760"/>
    <x v="2"/>
    <n v="2"/>
    <x v="1"/>
  </r>
  <r>
    <x v="48"/>
    <n v="5"/>
    <d v="2005-02-27T00:00:00"/>
    <s v="S-Ringbind-Gul"/>
    <n v="1941"/>
    <n v="6.03"/>
    <n v="12.18"/>
    <n v="23641.38"/>
    <x v="2"/>
    <n v="2"/>
    <x v="1"/>
  </r>
  <r>
    <x v="48"/>
    <n v="6"/>
    <d v="2005-02-27T00:00:00"/>
    <s v="S-Ringbind-Rød"/>
    <n v="1142"/>
    <n v="6.26"/>
    <n v="12.18"/>
    <n v="13909.56"/>
    <x v="2"/>
    <n v="2"/>
    <x v="1"/>
  </r>
  <r>
    <x v="49"/>
    <n v="1"/>
    <d v="2004-10-30T00:00:00"/>
    <s v="S-Ringbind-Rød"/>
    <n v="642"/>
    <n v="6.26"/>
    <n v="12.18"/>
    <n v="7819.5599999999995"/>
    <x v="3"/>
    <n v="10"/>
    <x v="2"/>
  </r>
  <r>
    <x v="49"/>
    <n v="2"/>
    <d v="2004-10-30T00:00:00"/>
    <s v="V-Tape"/>
    <n v="1764"/>
    <n v="1.5080640000000001"/>
    <n v="3"/>
    <n v="5292"/>
    <x v="3"/>
    <n v="10"/>
    <x v="2"/>
  </r>
  <r>
    <x v="49"/>
    <n v="3"/>
    <d v="2004-10-30T00:00:00"/>
    <s v="V-Papir"/>
    <n v="328"/>
    <n v="5.004390986602"/>
    <n v="10"/>
    <n v="3280"/>
    <x v="3"/>
    <n v="10"/>
    <x v="2"/>
  </r>
  <r>
    <x v="49"/>
    <n v="4"/>
    <d v="2004-10-30T00:00:00"/>
    <s v="S-Ringbind-Rød"/>
    <n v="853"/>
    <n v="6.26"/>
    <n v="12.18"/>
    <n v="10389.539999999999"/>
    <x v="3"/>
    <n v="10"/>
    <x v="2"/>
  </r>
  <r>
    <x v="50"/>
    <n v="1"/>
    <d v="2004-09-30T00:00:00"/>
    <s v="V-Index31"/>
    <n v="394"/>
    <n v="30.002954638333001"/>
    <n v="35"/>
    <n v="13790"/>
    <x v="3"/>
    <n v="9"/>
    <x v="3"/>
  </r>
  <r>
    <x v="50"/>
    <n v="3"/>
    <d v="2004-09-30T00:00:00"/>
    <s v="V-Tape"/>
    <n v="908"/>
    <n v="1.5080640000000001"/>
    <n v="3"/>
    <n v="2724"/>
    <x v="3"/>
    <n v="9"/>
    <x v="3"/>
  </r>
  <r>
    <x v="51"/>
    <n v="1"/>
    <d v="2004-08-31T00:00:00"/>
    <s v="V-Index31"/>
    <n v="556"/>
    <n v="30.002954638333001"/>
    <n v="35"/>
    <n v="19460"/>
    <x v="3"/>
    <n v="8"/>
    <x v="3"/>
  </r>
  <r>
    <x v="52"/>
    <n v="1"/>
    <d v="2004-04-30T00:00:00"/>
    <s v="V-Papir"/>
    <n v="220"/>
    <n v="5.004390986602"/>
    <n v="10"/>
    <n v="2200"/>
    <x v="3"/>
    <n v="4"/>
    <x v="0"/>
  </r>
  <r>
    <x v="52"/>
    <n v="2"/>
    <d v="2004-04-30T00:00:00"/>
    <s v="V-Index31"/>
    <n v="742"/>
    <n v="30.002954638333001"/>
    <n v="35"/>
    <n v="25970"/>
    <x v="3"/>
    <n v="4"/>
    <x v="0"/>
  </r>
  <r>
    <x v="52"/>
    <n v="4"/>
    <d v="2004-04-30T00:00:00"/>
    <s v="V-Papir"/>
    <n v="506"/>
    <n v="5.004390986602"/>
    <n v="10"/>
    <n v="5060"/>
    <x v="3"/>
    <n v="4"/>
    <x v="0"/>
  </r>
  <r>
    <x v="52"/>
    <n v="6"/>
    <d v="2004-04-30T00:00:00"/>
    <s v="S-Ringbind-Sort"/>
    <n v="874"/>
    <n v="8.7344200000000001"/>
    <n v="14.63"/>
    <n v="12786.62"/>
    <x v="3"/>
    <n v="4"/>
    <x v="0"/>
  </r>
  <r>
    <x v="53"/>
    <n v="1"/>
    <d v="2004-03-31T00:00:00"/>
    <s v="S-Ringbind-Gul"/>
    <n v="1649"/>
    <n v="6.03"/>
    <n v="12.18"/>
    <n v="20084.82"/>
    <x v="3"/>
    <n v="3"/>
    <x v="1"/>
  </r>
  <r>
    <x v="53"/>
    <n v="2"/>
    <d v="2004-03-31T00:00:00"/>
    <s v="S-Ringbind-Blå"/>
    <n v="315"/>
    <n v="7.52"/>
    <n v="16.940000000000001"/>
    <n v="5336.1"/>
    <x v="3"/>
    <n v="3"/>
    <x v="1"/>
  </r>
  <r>
    <x v="53"/>
    <n v="3"/>
    <d v="2004-03-31T00:00:00"/>
    <s v="S-Ringbind-Sort"/>
    <n v="746"/>
    <n v="8.7344200000000001"/>
    <n v="14.63"/>
    <n v="10913.980000000001"/>
    <x v="3"/>
    <n v="3"/>
    <x v="1"/>
  </r>
  <r>
    <x v="53"/>
    <n v="5"/>
    <d v="2004-03-31T00:00:00"/>
    <s v="S-Ringbind-Gul"/>
    <n v="1416"/>
    <n v="6.03"/>
    <n v="12.18"/>
    <n v="17246.88"/>
    <x v="3"/>
    <n v="3"/>
    <x v="1"/>
  </r>
  <r>
    <x v="54"/>
    <n v="2"/>
    <d v="2006-11-30T00:00:00"/>
    <s v="S-Ringbind-Blå"/>
    <n v="7500"/>
    <n v="7.52"/>
    <n v="16.940000000000001"/>
    <n v="127050.00000000001"/>
    <x v="1"/>
    <n v="11"/>
    <x v="2"/>
  </r>
  <r>
    <x v="54"/>
    <n v="3"/>
    <d v="2006-11-30T00:00:00"/>
    <s v="V-Index31"/>
    <n v="2500"/>
    <n v="30.002954638333001"/>
    <n v="35"/>
    <n v="87500"/>
    <x v="1"/>
    <n v="11"/>
    <x v="2"/>
  </r>
  <r>
    <x v="54"/>
    <n v="1"/>
    <d v="2006-11-30T00:00:00"/>
    <s v="V-Papir"/>
    <n v="20000"/>
    <n v="5.004390986602"/>
    <n v="10"/>
    <n v="200000"/>
    <x v="1"/>
    <n v="11"/>
    <x v="2"/>
  </r>
  <r>
    <x v="55"/>
    <n v="2"/>
    <d v="2007-03-31T00:00:00"/>
    <s v="V-Tape"/>
    <n v="100"/>
    <n v="1.5080640000000001"/>
    <n v="3"/>
    <n v="300"/>
    <x v="0"/>
    <n v="3"/>
    <x v="1"/>
  </r>
  <r>
    <x v="56"/>
    <n v="1"/>
    <d v="2006-01-13T00:00:00"/>
    <s v="V-Index31"/>
    <n v="2274"/>
    <n v="30.002954638333001"/>
    <n v="35"/>
    <n v="79590"/>
    <x v="1"/>
    <n v="1"/>
    <x v="1"/>
  </r>
  <r>
    <x v="57"/>
    <n v="1"/>
    <d v="2006-05-21T00:00:00"/>
    <s v="V-Index31"/>
    <n v="1179"/>
    <n v="30.002954638333001"/>
    <n v="35"/>
    <n v="41265"/>
    <x v="1"/>
    <n v="5"/>
    <x v="0"/>
  </r>
  <r>
    <x v="58"/>
    <n v="1"/>
    <d v="2005-04-29T00:00:00"/>
    <s v="S-Ringbind-Sort"/>
    <n v="942"/>
    <n v="8.7344200000000001"/>
    <n v="14.63"/>
    <n v="13781.460000000001"/>
    <x v="2"/>
    <n v="4"/>
    <x v="0"/>
  </r>
  <r>
    <x v="58"/>
    <n v="2"/>
    <d v="2005-04-29T00:00:00"/>
    <s v="S-Ringbind-Blå"/>
    <n v="725"/>
    <n v="7.52"/>
    <n v="16.940000000000001"/>
    <n v="12281.500000000002"/>
    <x v="2"/>
    <n v="4"/>
    <x v="0"/>
  </r>
  <r>
    <x v="58"/>
    <n v="4"/>
    <d v="2005-04-29T00:00:00"/>
    <s v="V-Papir"/>
    <n v="1654"/>
    <n v="5.004390986602"/>
    <n v="10"/>
    <n v="16540"/>
    <x v="2"/>
    <n v="4"/>
    <x v="0"/>
  </r>
  <r>
    <x v="59"/>
    <n v="1"/>
    <d v="2005-03-31T00:00:00"/>
    <s v="S-Ringbind-Rød"/>
    <n v="1263"/>
    <n v="6.26"/>
    <n v="12.18"/>
    <n v="15383.34"/>
    <x v="2"/>
    <n v="3"/>
    <x v="1"/>
  </r>
  <r>
    <x v="59"/>
    <n v="3"/>
    <d v="2005-03-31T00:00:00"/>
    <s v="S-Ringbind-Blå"/>
    <n v="1594"/>
    <n v="7.52"/>
    <n v="16.940000000000001"/>
    <n v="27002.36"/>
    <x v="2"/>
    <n v="3"/>
    <x v="1"/>
  </r>
  <r>
    <x v="59"/>
    <n v="4"/>
    <d v="2005-03-31T00:00:00"/>
    <s v="V-Index31"/>
    <n v="554"/>
    <n v="30.002954638333001"/>
    <n v="35"/>
    <n v="19390"/>
    <x v="2"/>
    <n v="3"/>
    <x v="1"/>
  </r>
  <r>
    <x v="59"/>
    <n v="5"/>
    <d v="2005-03-31T00:00:00"/>
    <s v="V-Papir"/>
    <n v="1227"/>
    <n v="5.004390986602"/>
    <n v="10"/>
    <n v="12270"/>
    <x v="2"/>
    <n v="3"/>
    <x v="1"/>
  </r>
  <r>
    <x v="60"/>
    <n v="1"/>
    <d v="2005-02-27T00:00:00"/>
    <s v="S-Ringbind-Sort"/>
    <n v="318"/>
    <n v="8.7344200000000001"/>
    <n v="14.63"/>
    <n v="4652.34"/>
    <x v="2"/>
    <n v="2"/>
    <x v="1"/>
  </r>
  <r>
    <x v="61"/>
    <n v="1"/>
    <d v="2005-01-31T00:00:00"/>
    <s v="V-Index31"/>
    <n v="1069"/>
    <n v="30.002954638333001"/>
    <n v="35"/>
    <n v="37415"/>
    <x v="2"/>
    <n v="1"/>
    <x v="1"/>
  </r>
  <r>
    <x v="61"/>
    <n v="2"/>
    <d v="2005-01-31T00:00:00"/>
    <s v="S-Ringbind-Sort"/>
    <n v="321"/>
    <n v="8.7344200000000001"/>
    <n v="14.63"/>
    <n v="4696.2300000000005"/>
    <x v="2"/>
    <n v="1"/>
    <x v="1"/>
  </r>
  <r>
    <x v="62"/>
    <n v="1"/>
    <d v="2005-01-31T00:00:00"/>
    <s v="S-Ringbind-Blå"/>
    <n v="1910"/>
    <n v="7.52"/>
    <n v="16.940000000000001"/>
    <n v="32355.4"/>
    <x v="2"/>
    <n v="1"/>
    <x v="1"/>
  </r>
  <r>
    <x v="62"/>
    <n v="2"/>
    <d v="2005-01-31T00:00:00"/>
    <s v="S-Ringbind-Sort"/>
    <n v="1534"/>
    <n v="8.7344200000000001"/>
    <n v="14.63"/>
    <n v="22442.420000000002"/>
    <x v="2"/>
    <n v="1"/>
    <x v="1"/>
  </r>
  <r>
    <x v="63"/>
    <n v="1"/>
    <d v="2004-12-31T00:00:00"/>
    <s v="V-Tape"/>
    <n v="1213"/>
    <n v="1.5080640000000001"/>
    <n v="3"/>
    <n v="3639"/>
    <x v="3"/>
    <n v="12"/>
    <x v="2"/>
  </r>
  <r>
    <x v="63"/>
    <n v="3"/>
    <d v="2004-12-31T00:00:00"/>
    <s v="V-Tape"/>
    <n v="1859"/>
    <n v="1.5080640000000001"/>
    <n v="3"/>
    <n v="5577"/>
    <x v="3"/>
    <n v="12"/>
    <x v="2"/>
  </r>
  <r>
    <x v="63"/>
    <n v="6"/>
    <d v="2004-12-31T00:00:00"/>
    <s v="S-Ringbind-Rød"/>
    <n v="1704"/>
    <n v="6.26"/>
    <n v="12.18"/>
    <n v="20754.72"/>
    <x v="3"/>
    <n v="12"/>
    <x v="2"/>
  </r>
  <r>
    <x v="63"/>
    <n v="7"/>
    <d v="2004-12-31T00:00:00"/>
    <s v="V-Index31"/>
    <n v="1"/>
    <n v="30.002954638333001"/>
    <n v="35"/>
    <n v="35"/>
    <x v="3"/>
    <n v="12"/>
    <x v="2"/>
  </r>
  <r>
    <x v="64"/>
    <n v="1"/>
    <d v="2004-10-30T00:00:00"/>
    <s v="V-Tape"/>
    <n v="1772"/>
    <n v="1.5080640000000001"/>
    <n v="3"/>
    <n v="5316"/>
    <x v="3"/>
    <n v="10"/>
    <x v="2"/>
  </r>
  <r>
    <x v="64"/>
    <n v="3"/>
    <d v="2004-10-30T00:00:00"/>
    <s v="S-Ringbind-Sort"/>
    <n v="1613"/>
    <n v="8.7344200000000001"/>
    <n v="14.63"/>
    <n v="23598.190000000002"/>
    <x v="3"/>
    <n v="10"/>
    <x v="2"/>
  </r>
  <r>
    <x v="64"/>
    <n v="6"/>
    <d v="2004-10-30T00:00:00"/>
    <s v="S-Ringbind-Sort"/>
    <n v="1240"/>
    <n v="8.7344200000000001"/>
    <n v="14.63"/>
    <n v="18141.2"/>
    <x v="3"/>
    <n v="10"/>
    <x v="2"/>
  </r>
  <r>
    <x v="65"/>
    <n v="2"/>
    <d v="2004-09-30T00:00:00"/>
    <s v="V-Tape"/>
    <n v="1174"/>
    <n v="1.5080640000000001"/>
    <n v="3"/>
    <n v="3522"/>
    <x v="3"/>
    <n v="9"/>
    <x v="3"/>
  </r>
  <r>
    <x v="65"/>
    <n v="3"/>
    <d v="2004-09-30T00:00:00"/>
    <s v="S-Ringbind-Sort"/>
    <n v="1713"/>
    <n v="8.7344200000000001"/>
    <n v="14.63"/>
    <n v="25061.190000000002"/>
    <x v="3"/>
    <n v="9"/>
    <x v="3"/>
  </r>
  <r>
    <x v="65"/>
    <n v="4"/>
    <d v="2004-09-30T00:00:00"/>
    <s v="S-Ringbind-Sort"/>
    <n v="994"/>
    <n v="8.7344200000000001"/>
    <n v="14.63"/>
    <n v="14542.220000000001"/>
    <x v="3"/>
    <n v="9"/>
    <x v="3"/>
  </r>
  <r>
    <x v="65"/>
    <n v="5"/>
    <d v="2004-09-30T00:00:00"/>
    <s v="V-Index31"/>
    <n v="147"/>
    <n v="30.002954638333001"/>
    <n v="35"/>
    <n v="5145"/>
    <x v="3"/>
    <n v="9"/>
    <x v="3"/>
  </r>
  <r>
    <x v="65"/>
    <n v="6"/>
    <d v="2004-09-30T00:00:00"/>
    <s v="V-Index31"/>
    <n v="349"/>
    <n v="30.002954638333001"/>
    <n v="35"/>
    <n v="12215"/>
    <x v="3"/>
    <n v="9"/>
    <x v="3"/>
  </r>
  <r>
    <x v="66"/>
    <n v="2"/>
    <d v="2004-08-31T00:00:00"/>
    <s v="S-Ringbind-Sort"/>
    <n v="1402"/>
    <n v="8.7344200000000001"/>
    <n v="14.63"/>
    <n v="20511.260000000002"/>
    <x v="3"/>
    <n v="8"/>
    <x v="3"/>
  </r>
  <r>
    <x v="67"/>
    <n v="2"/>
    <d v="2004-05-31T00:00:00"/>
    <s v="S-Ringbind-Gul"/>
    <n v="1666"/>
    <n v="6.03"/>
    <n v="12.18"/>
    <n v="20291.88"/>
    <x v="3"/>
    <n v="5"/>
    <x v="0"/>
  </r>
  <r>
    <x v="68"/>
    <n v="3"/>
    <d v="2004-03-31T00:00:00"/>
    <s v="S-Ringbind-Rød"/>
    <n v="1774"/>
    <n v="6.26"/>
    <n v="12.18"/>
    <n v="21607.32"/>
    <x v="3"/>
    <n v="3"/>
    <x v="1"/>
  </r>
  <r>
    <x v="69"/>
    <n v="1"/>
    <d v="2006-05-31T00:00:00"/>
    <s v="V-Papir"/>
    <n v="25000"/>
    <n v="5.004390986602"/>
    <n v="10"/>
    <n v="250000"/>
    <x v="1"/>
    <n v="5"/>
    <x v="0"/>
  </r>
  <r>
    <x v="69"/>
    <n v="2"/>
    <d v="2006-05-31T00:00:00"/>
    <s v="V-Index31"/>
    <n v="4000"/>
    <n v="30.002954638333001"/>
    <n v="35"/>
    <n v="140000"/>
    <x v="1"/>
    <n v="5"/>
    <x v="0"/>
  </r>
  <r>
    <x v="69"/>
    <n v="3"/>
    <d v="2006-05-31T00:00:00"/>
    <s v="S-Ringbind-Blå"/>
    <n v="5000"/>
    <n v="7.52"/>
    <n v="16.940000000000001"/>
    <n v="84700"/>
    <x v="1"/>
    <n v="5"/>
    <x v="0"/>
  </r>
  <r>
    <x v="69"/>
    <n v="4"/>
    <d v="2006-05-31T00:00:00"/>
    <s v="V-Tape"/>
    <n v="10000"/>
    <n v="1.5080640000000001"/>
    <n v="3"/>
    <n v="30000"/>
    <x v="1"/>
    <n v="5"/>
    <x v="0"/>
  </r>
  <r>
    <x v="70"/>
    <n v="1"/>
    <d v="2007-03-31T00:00:00"/>
    <s v="V-Index31"/>
    <n v="2447"/>
    <n v="30.002954638333001"/>
    <n v="35"/>
    <n v="85645"/>
    <x v="0"/>
    <n v="3"/>
    <x v="1"/>
  </r>
  <r>
    <x v="71"/>
    <n v="1"/>
    <d v="2006-07-05T00:00:00"/>
    <s v="S-Ringbind-Rød"/>
    <n v="1943"/>
    <n v="6.26"/>
    <n v="12.18"/>
    <n v="23665.739999999998"/>
    <x v="1"/>
    <n v="7"/>
    <x v="3"/>
  </r>
  <r>
    <x v="72"/>
    <n v="1"/>
    <d v="2006-07-06T00:00:00"/>
    <s v="S-Ringbind-Rød"/>
    <n v="719"/>
    <n v="6.26"/>
    <n v="12.18"/>
    <n v="8757.42"/>
    <x v="1"/>
    <n v="7"/>
    <x v="3"/>
  </r>
  <r>
    <x v="73"/>
    <n v="2"/>
    <d v="2006-01-24T00:00:00"/>
    <s v="V-Index31"/>
    <n v="840"/>
    <n v="30.002954638333001"/>
    <n v="35"/>
    <n v="29400"/>
    <x v="1"/>
    <n v="1"/>
    <x v="1"/>
  </r>
  <r>
    <x v="74"/>
    <n v="4"/>
    <d v="2005-08-31T00:00:00"/>
    <s v="S-Ringbind-Rød"/>
    <n v="690"/>
    <n v="6.26"/>
    <n v="12.18"/>
    <n v="8404.1999999999989"/>
    <x v="2"/>
    <n v="8"/>
    <x v="3"/>
  </r>
  <r>
    <x v="74"/>
    <n v="5"/>
    <d v="2005-08-31T00:00:00"/>
    <s v="V-Tape"/>
    <n v="101"/>
    <n v="1.5080640000000001"/>
    <n v="3"/>
    <n v="303"/>
    <x v="2"/>
    <n v="8"/>
    <x v="3"/>
  </r>
  <r>
    <x v="74"/>
    <n v="6"/>
    <d v="2005-08-31T00:00:00"/>
    <s v="S-Ringbind-Rød"/>
    <n v="1643"/>
    <n v="6.26"/>
    <n v="12.18"/>
    <n v="20011.739999999998"/>
    <x v="2"/>
    <n v="8"/>
    <x v="3"/>
  </r>
  <r>
    <x v="74"/>
    <n v="7"/>
    <d v="2005-08-31T00:00:00"/>
    <s v="S-Ringbind-Rød"/>
    <n v="276"/>
    <n v="6.26"/>
    <n v="12.18"/>
    <n v="3361.68"/>
    <x v="2"/>
    <n v="8"/>
    <x v="3"/>
  </r>
  <r>
    <x v="74"/>
    <n v="8"/>
    <d v="2005-08-31T00:00:00"/>
    <s v="V-Index31"/>
    <n v="669"/>
    <n v="30.002954638333001"/>
    <n v="35"/>
    <n v="23415"/>
    <x v="2"/>
    <n v="8"/>
    <x v="3"/>
  </r>
  <r>
    <x v="75"/>
    <n v="2"/>
    <d v="2005-06-30T00:00:00"/>
    <s v="V-Tape"/>
    <n v="1482"/>
    <n v="1.5080640000000001"/>
    <n v="3"/>
    <n v="4446"/>
    <x v="2"/>
    <n v="6"/>
    <x v="0"/>
  </r>
  <r>
    <x v="75"/>
    <n v="3"/>
    <d v="2005-06-30T00:00:00"/>
    <s v="V-Index31"/>
    <n v="245"/>
    <n v="30.002954638333001"/>
    <n v="35"/>
    <n v="8575"/>
    <x v="2"/>
    <n v="6"/>
    <x v="0"/>
  </r>
  <r>
    <x v="75"/>
    <n v="4"/>
    <d v="2005-06-30T00:00:00"/>
    <s v="S-Ringbind-Sort"/>
    <n v="216"/>
    <n v="8.7344200000000001"/>
    <n v="14.63"/>
    <n v="3160.0800000000004"/>
    <x v="2"/>
    <n v="6"/>
    <x v="0"/>
  </r>
  <r>
    <x v="76"/>
    <n v="1"/>
    <d v="2005-06-30T00:00:00"/>
    <s v="S-Ringbind-Sort"/>
    <n v="1892"/>
    <n v="8.7344200000000001"/>
    <n v="14.63"/>
    <n v="27679.960000000003"/>
    <x v="2"/>
    <n v="6"/>
    <x v="0"/>
  </r>
  <r>
    <x v="76"/>
    <n v="2"/>
    <d v="2005-06-30T00:00:00"/>
    <s v="V-Papir"/>
    <n v="1605"/>
    <n v="5.004390986602"/>
    <n v="10"/>
    <n v="16050"/>
    <x v="2"/>
    <n v="6"/>
    <x v="0"/>
  </r>
  <r>
    <x v="77"/>
    <n v="2"/>
    <d v="2005-06-30T00:00:00"/>
    <s v="V-Tape"/>
    <n v="1853"/>
    <n v="1.5080640000000001"/>
    <n v="3"/>
    <n v="5559"/>
    <x v="2"/>
    <n v="6"/>
    <x v="0"/>
  </r>
  <r>
    <x v="77"/>
    <n v="3"/>
    <d v="2005-06-30T00:00:00"/>
    <s v="S-Ringbind-Gul"/>
    <n v="1776"/>
    <n v="6.03"/>
    <n v="12.18"/>
    <n v="21631.68"/>
    <x v="2"/>
    <n v="6"/>
    <x v="0"/>
  </r>
  <r>
    <x v="77"/>
    <n v="4"/>
    <d v="2005-06-30T00:00:00"/>
    <s v="V-Papir"/>
    <n v="1264"/>
    <n v="5.004390986602"/>
    <n v="10"/>
    <n v="12640"/>
    <x v="2"/>
    <n v="6"/>
    <x v="0"/>
  </r>
  <r>
    <x v="77"/>
    <n v="5"/>
    <d v="2005-06-30T00:00:00"/>
    <s v="S-Ringbind-Blå"/>
    <n v="708"/>
    <n v="7.52"/>
    <n v="16.940000000000001"/>
    <n v="11993.52"/>
    <x v="2"/>
    <n v="6"/>
    <x v="0"/>
  </r>
  <r>
    <x v="77"/>
    <n v="6"/>
    <d v="2005-06-30T00:00:00"/>
    <s v="S-Ringbind-Gul"/>
    <n v="1466"/>
    <n v="6.03"/>
    <n v="12.18"/>
    <n v="17855.88"/>
    <x v="2"/>
    <n v="6"/>
    <x v="0"/>
  </r>
  <r>
    <x v="78"/>
    <n v="1"/>
    <d v="2005-04-29T00:00:00"/>
    <s v="S-Ringbind-Blå"/>
    <n v="120"/>
    <n v="7.52"/>
    <n v="16.940000000000001"/>
    <n v="2032.8000000000002"/>
    <x v="2"/>
    <n v="4"/>
    <x v="0"/>
  </r>
  <r>
    <x v="78"/>
    <n v="2"/>
    <d v="2005-04-29T00:00:00"/>
    <s v="S-Ringbind-Gul"/>
    <n v="270"/>
    <n v="6.03"/>
    <n v="12.18"/>
    <n v="3288.6"/>
    <x v="2"/>
    <n v="4"/>
    <x v="0"/>
  </r>
  <r>
    <x v="78"/>
    <n v="3"/>
    <d v="2005-04-29T00:00:00"/>
    <s v="S-Ringbind-Gul"/>
    <n v="724"/>
    <n v="6.03"/>
    <n v="12.18"/>
    <n v="8818.32"/>
    <x v="2"/>
    <n v="4"/>
    <x v="0"/>
  </r>
  <r>
    <x v="79"/>
    <n v="2"/>
    <d v="2005-01-31T00:00:00"/>
    <s v="S-Ringbind-Gul"/>
    <n v="1071"/>
    <n v="6.03"/>
    <n v="12.18"/>
    <n v="13044.779999999999"/>
    <x v="2"/>
    <n v="1"/>
    <x v="1"/>
  </r>
  <r>
    <x v="80"/>
    <n v="1"/>
    <d v="2004-12-31T00:00:00"/>
    <s v="V-Tape"/>
    <n v="756"/>
    <n v="1.5080640000000001"/>
    <n v="3"/>
    <n v="2268"/>
    <x v="3"/>
    <n v="12"/>
    <x v="2"/>
  </r>
  <r>
    <x v="80"/>
    <n v="2"/>
    <d v="2004-12-31T00:00:00"/>
    <s v="V-Tape"/>
    <n v="36"/>
    <n v="1.5080640000000001"/>
    <n v="3"/>
    <n v="108"/>
    <x v="3"/>
    <n v="12"/>
    <x v="2"/>
  </r>
  <r>
    <x v="80"/>
    <n v="3"/>
    <d v="2004-12-31T00:00:00"/>
    <s v="S-Ringbind-Blå"/>
    <n v="1285"/>
    <n v="7.52"/>
    <n v="16.940000000000001"/>
    <n v="21767.9"/>
    <x v="3"/>
    <n v="12"/>
    <x v="2"/>
  </r>
  <r>
    <x v="81"/>
    <n v="1"/>
    <d v="2004-11-30T00:00:00"/>
    <s v="V-Papir"/>
    <n v="1392"/>
    <n v="5.004390986602"/>
    <n v="10"/>
    <n v="13920"/>
    <x v="3"/>
    <n v="11"/>
    <x v="2"/>
  </r>
  <r>
    <x v="81"/>
    <n v="2"/>
    <d v="2004-11-30T00:00:00"/>
    <s v="S-Ringbind-Rød"/>
    <n v="306"/>
    <n v="6.26"/>
    <n v="12.18"/>
    <n v="3727.08"/>
    <x v="3"/>
    <n v="11"/>
    <x v="2"/>
  </r>
  <r>
    <x v="81"/>
    <n v="3"/>
    <d v="2004-11-30T00:00:00"/>
    <s v="V-Index31"/>
    <n v="1108"/>
    <n v="30.002954638333001"/>
    <n v="35"/>
    <n v="38780"/>
    <x v="3"/>
    <n v="11"/>
    <x v="2"/>
  </r>
  <r>
    <x v="82"/>
    <n v="2"/>
    <d v="2004-09-30T00:00:00"/>
    <s v="V-Papir"/>
    <n v="1241"/>
    <n v="5.004390986602"/>
    <n v="10"/>
    <n v="12410"/>
    <x v="3"/>
    <n v="9"/>
    <x v="3"/>
  </r>
  <r>
    <x v="82"/>
    <n v="3"/>
    <d v="2004-09-30T00:00:00"/>
    <s v="V-Index31"/>
    <n v="165"/>
    <n v="30.002954638333001"/>
    <n v="35"/>
    <n v="5775"/>
    <x v="3"/>
    <n v="9"/>
    <x v="3"/>
  </r>
  <r>
    <x v="82"/>
    <n v="4"/>
    <d v="2004-09-30T00:00:00"/>
    <s v="S-Ringbind-Rød"/>
    <n v="539"/>
    <n v="6.26"/>
    <n v="12.18"/>
    <n v="6565.0199999999995"/>
    <x v="3"/>
    <n v="9"/>
    <x v="3"/>
  </r>
  <r>
    <x v="82"/>
    <n v="5"/>
    <d v="2004-09-30T00:00:00"/>
    <s v="S-Ringbind-Sort"/>
    <n v="360"/>
    <n v="8.7344200000000001"/>
    <n v="14.63"/>
    <n v="5266.8"/>
    <x v="3"/>
    <n v="9"/>
    <x v="3"/>
  </r>
  <r>
    <x v="82"/>
    <n v="6"/>
    <d v="2004-09-30T00:00:00"/>
    <s v="S-Ringbind-Rød"/>
    <n v="320"/>
    <n v="6.26"/>
    <n v="12.18"/>
    <n v="3897.6"/>
    <x v="3"/>
    <n v="9"/>
    <x v="3"/>
  </r>
  <r>
    <x v="83"/>
    <n v="3"/>
    <d v="2004-09-30T00:00:00"/>
    <s v="S-Ringbind-Gul"/>
    <n v="503"/>
    <n v="6.03"/>
    <n v="12.18"/>
    <n v="6126.54"/>
    <x v="3"/>
    <n v="9"/>
    <x v="3"/>
  </r>
  <r>
    <x v="83"/>
    <n v="4"/>
    <d v="2004-09-30T00:00:00"/>
    <s v="V-Index31"/>
    <n v="1659"/>
    <n v="30.002954638333001"/>
    <n v="35"/>
    <n v="58065"/>
    <x v="3"/>
    <n v="9"/>
    <x v="3"/>
  </r>
  <r>
    <x v="84"/>
    <n v="1"/>
    <d v="2004-05-31T00:00:00"/>
    <s v="V-Tape"/>
    <n v="1780"/>
    <n v="1.5080640000000001"/>
    <n v="3"/>
    <n v="5340"/>
    <x v="3"/>
    <n v="5"/>
    <x v="0"/>
  </r>
  <r>
    <x v="84"/>
    <n v="3"/>
    <d v="2004-05-31T00:00:00"/>
    <s v="S-Ringbind-Blå"/>
    <n v="51"/>
    <n v="7.52"/>
    <n v="16.940000000000001"/>
    <n v="863.94"/>
    <x v="3"/>
    <n v="5"/>
    <x v="0"/>
  </r>
  <r>
    <x v="85"/>
    <n v="2"/>
    <d v="2006-09-30T00:00:00"/>
    <s v="S-Ringbind-Sort"/>
    <n v="15000"/>
    <n v="8.7344200000000001"/>
    <n v="14.63"/>
    <n v="219450"/>
    <x v="1"/>
    <n v="9"/>
    <x v="3"/>
  </r>
  <r>
    <x v="85"/>
    <n v="3"/>
    <d v="2006-09-30T00:00:00"/>
    <s v="S-Ringbind-Gul"/>
    <n v="5000"/>
    <n v="6.03"/>
    <n v="12.18"/>
    <n v="60900"/>
    <x v="1"/>
    <n v="9"/>
    <x v="3"/>
  </r>
  <r>
    <x v="85"/>
    <n v="1"/>
    <d v="2006-09-30T00:00:00"/>
    <s v="V-Papir"/>
    <n v="10000"/>
    <n v="5.004390986602"/>
    <n v="10"/>
    <n v="100000"/>
    <x v="1"/>
    <n v="9"/>
    <x v="3"/>
  </r>
  <r>
    <x v="86"/>
    <n v="1"/>
    <d v="2007-03-31T00:00:00"/>
    <s v="S-Ringbind-Blå"/>
    <n v="1156"/>
    <n v="7.52"/>
    <n v="16.940000000000001"/>
    <n v="19582.640000000003"/>
    <x v="0"/>
    <n v="3"/>
    <x v="1"/>
  </r>
  <r>
    <x v="87"/>
    <n v="1"/>
    <d v="2005-08-31T00:00:00"/>
    <s v="V-Index31"/>
    <n v="673"/>
    <n v="30.002954638333001"/>
    <n v="35"/>
    <n v="23555"/>
    <x v="2"/>
    <n v="8"/>
    <x v="3"/>
  </r>
  <r>
    <x v="87"/>
    <n v="2"/>
    <d v="2005-08-31T00:00:00"/>
    <s v="S-Ringbind-Gul"/>
    <n v="1835"/>
    <n v="6.03"/>
    <n v="12.18"/>
    <n v="22350.3"/>
    <x v="2"/>
    <n v="8"/>
    <x v="3"/>
  </r>
  <r>
    <x v="88"/>
    <n v="1"/>
    <d v="2005-08-31T00:00:00"/>
    <s v="S-Ringbind-Blå"/>
    <n v="1337"/>
    <n v="7.52"/>
    <n v="16.940000000000001"/>
    <n v="22648.780000000002"/>
    <x v="2"/>
    <n v="8"/>
    <x v="3"/>
  </r>
  <r>
    <x v="89"/>
    <n v="1"/>
    <d v="2005-06-30T00:00:00"/>
    <s v="S-Ringbind-Sort"/>
    <n v="1718"/>
    <n v="8.7344200000000001"/>
    <n v="14.63"/>
    <n v="25134.34"/>
    <x v="2"/>
    <n v="6"/>
    <x v="0"/>
  </r>
  <r>
    <x v="90"/>
    <n v="1"/>
    <d v="2005-06-30T00:00:00"/>
    <s v="S-Ringbind-Sort"/>
    <n v="13"/>
    <n v="8.7344200000000001"/>
    <n v="14.63"/>
    <n v="190.19"/>
    <x v="2"/>
    <n v="6"/>
    <x v="0"/>
  </r>
  <r>
    <x v="90"/>
    <n v="2"/>
    <d v="2005-06-30T00:00:00"/>
    <s v="V-Papir"/>
    <n v="1676"/>
    <n v="5.004390986602"/>
    <n v="10"/>
    <n v="16760"/>
    <x v="2"/>
    <n v="6"/>
    <x v="0"/>
  </r>
  <r>
    <x v="91"/>
    <n v="1"/>
    <d v="2004-09-30T00:00:00"/>
    <s v="S-Ringbind-Blå"/>
    <n v="1338"/>
    <n v="7.52"/>
    <n v="16.940000000000001"/>
    <n v="22665.72"/>
    <x v="3"/>
    <n v="9"/>
    <x v="3"/>
  </r>
  <r>
    <x v="92"/>
    <n v="1"/>
    <d v="2004-06-30T00:00:00"/>
    <s v="V-Tape"/>
    <n v="1165"/>
    <n v="1.5080640000000001"/>
    <n v="3"/>
    <n v="3495"/>
    <x v="3"/>
    <n v="6"/>
    <x v="0"/>
  </r>
  <r>
    <x v="92"/>
    <n v="2"/>
    <d v="2004-06-30T00:00:00"/>
    <s v="S-Ringbind-Sort"/>
    <n v="173"/>
    <n v="8.7344200000000001"/>
    <n v="14.63"/>
    <n v="2530.9900000000002"/>
    <x v="3"/>
    <n v="6"/>
    <x v="0"/>
  </r>
  <r>
    <x v="93"/>
    <n v="2"/>
    <d v="2004-06-30T00:00:00"/>
    <s v="S-Ringbind-Rød"/>
    <n v="751"/>
    <n v="6.26"/>
    <n v="12.18"/>
    <n v="9147.18"/>
    <x v="3"/>
    <n v="6"/>
    <x v="0"/>
  </r>
  <r>
    <x v="94"/>
    <n v="2"/>
    <d v="2006-03-05T00:00:00"/>
    <s v="S-Ringbind-Rød"/>
    <n v="400"/>
    <n v="6.26"/>
    <n v="12.18"/>
    <n v="4872"/>
    <x v="1"/>
    <n v="3"/>
    <x v="1"/>
  </r>
  <r>
    <x v="95"/>
    <n v="2"/>
    <d v="2005-03-31T00:00:00"/>
    <s v="S-Ringbind-Rød"/>
    <n v="1399"/>
    <n v="6.26"/>
    <n v="12.18"/>
    <n v="17039.82"/>
    <x v="2"/>
    <n v="3"/>
    <x v="1"/>
  </r>
  <r>
    <x v="95"/>
    <n v="3"/>
    <d v="2005-03-31T00:00:00"/>
    <s v="S-Ringbind-Rød"/>
    <n v="1957"/>
    <n v="6.26"/>
    <n v="12.18"/>
    <n v="23836.26"/>
    <x v="2"/>
    <n v="3"/>
    <x v="1"/>
  </r>
  <r>
    <x v="95"/>
    <n v="4"/>
    <d v="2005-03-31T00:00:00"/>
    <s v="S-Ringbind-Rød"/>
    <n v="236"/>
    <n v="6.26"/>
    <n v="12.18"/>
    <n v="2874.48"/>
    <x v="2"/>
    <n v="3"/>
    <x v="1"/>
  </r>
  <r>
    <x v="95"/>
    <n v="5"/>
    <d v="2005-03-31T00:00:00"/>
    <s v="S-Ringbind-Sort"/>
    <n v="612"/>
    <n v="8.7344200000000001"/>
    <n v="14.63"/>
    <n v="8953.5600000000013"/>
    <x v="2"/>
    <n v="3"/>
    <x v="1"/>
  </r>
  <r>
    <x v="96"/>
    <n v="1"/>
    <d v="2005-02-27T00:00:00"/>
    <s v="S-Ringbind-Rød"/>
    <n v="50"/>
    <n v="6.26"/>
    <n v="12.18"/>
    <n v="609"/>
    <x v="2"/>
    <n v="2"/>
    <x v="1"/>
  </r>
  <r>
    <x v="97"/>
    <n v="1"/>
    <d v="2005-01-31T00:00:00"/>
    <s v="V-Tape"/>
    <n v="1217"/>
    <n v="1.5080640000000001"/>
    <n v="3"/>
    <n v="3651"/>
    <x v="2"/>
    <n v="1"/>
    <x v="1"/>
  </r>
  <r>
    <x v="97"/>
    <n v="2"/>
    <d v="2005-01-31T00:00:00"/>
    <s v="S-Ringbind-Sort"/>
    <n v="1227"/>
    <n v="8.7344200000000001"/>
    <n v="14.63"/>
    <n v="17951.010000000002"/>
    <x v="2"/>
    <n v="1"/>
    <x v="1"/>
  </r>
  <r>
    <x v="97"/>
    <n v="3"/>
    <d v="2005-01-31T00:00:00"/>
    <s v="V-Tape"/>
    <n v="245"/>
    <n v="1.5080640000000001"/>
    <n v="3"/>
    <n v="735"/>
    <x v="2"/>
    <n v="1"/>
    <x v="1"/>
  </r>
  <r>
    <x v="97"/>
    <n v="6"/>
    <d v="2005-01-31T00:00:00"/>
    <s v="S-Ringbind-Gul"/>
    <n v="1824"/>
    <n v="6.03"/>
    <n v="12.18"/>
    <n v="22216.32"/>
    <x v="2"/>
    <n v="1"/>
    <x v="1"/>
  </r>
  <r>
    <x v="97"/>
    <n v="7"/>
    <d v="2005-01-31T00:00:00"/>
    <s v="S-Ringbind-Sort"/>
    <n v="271"/>
    <n v="8.7344200000000001"/>
    <n v="14.63"/>
    <n v="3964.73"/>
    <x v="2"/>
    <n v="1"/>
    <x v="1"/>
  </r>
  <r>
    <x v="97"/>
    <n v="8"/>
    <d v="2005-01-31T00:00:00"/>
    <s v="S-Ringbind-Gul"/>
    <n v="237"/>
    <n v="6.03"/>
    <n v="12.18"/>
    <n v="2886.66"/>
    <x v="2"/>
    <n v="1"/>
    <x v="1"/>
  </r>
  <r>
    <x v="98"/>
    <n v="1"/>
    <d v="2004-12-31T00:00:00"/>
    <s v="S-Ringbind-Blå"/>
    <n v="1311"/>
    <n v="7.52"/>
    <n v="16.940000000000001"/>
    <n v="22208.34"/>
    <x v="3"/>
    <n v="12"/>
    <x v="2"/>
  </r>
  <r>
    <x v="98"/>
    <n v="2"/>
    <d v="2004-12-31T00:00:00"/>
    <s v="V-Papir"/>
    <n v="337"/>
    <n v="5.004390986602"/>
    <n v="10"/>
    <n v="3370"/>
    <x v="3"/>
    <n v="12"/>
    <x v="2"/>
  </r>
  <r>
    <x v="99"/>
    <n v="2"/>
    <d v="2004-11-30T00:00:00"/>
    <s v="S-Ringbind-Gul"/>
    <n v="1775"/>
    <n v="6.03"/>
    <n v="12.18"/>
    <n v="21619.5"/>
    <x v="3"/>
    <n v="11"/>
    <x v="2"/>
  </r>
  <r>
    <x v="99"/>
    <n v="4"/>
    <d v="2004-11-30T00:00:00"/>
    <s v="V-Index31"/>
    <n v="911"/>
    <n v="30.002954638333001"/>
    <n v="35"/>
    <n v="31885"/>
    <x v="3"/>
    <n v="11"/>
    <x v="2"/>
  </r>
  <r>
    <x v="100"/>
    <n v="1"/>
    <d v="2004-03-31T00:00:00"/>
    <s v="S-Ringbind-Rød"/>
    <n v="1630"/>
    <n v="6.26"/>
    <n v="12.18"/>
    <n v="19853.399999999998"/>
    <x v="3"/>
    <n v="3"/>
    <x v="1"/>
  </r>
  <r>
    <x v="100"/>
    <n v="4"/>
    <d v="2004-03-31T00:00:00"/>
    <s v="S-Ringbind-Blå"/>
    <n v="188"/>
    <n v="7.52"/>
    <n v="16.940000000000001"/>
    <n v="3184.7200000000003"/>
    <x v="3"/>
    <n v="3"/>
    <x v="1"/>
  </r>
  <r>
    <x v="100"/>
    <n v="5"/>
    <d v="2004-03-31T00:00:00"/>
    <s v="S-Ringbind-Rød"/>
    <n v="1564"/>
    <n v="6.26"/>
    <n v="12.18"/>
    <n v="19049.52"/>
    <x v="3"/>
    <n v="3"/>
    <x v="1"/>
  </r>
  <r>
    <x v="101"/>
    <n v="1"/>
    <d v="2004-03-31T00:00:00"/>
    <s v="S-Ringbind-Sort"/>
    <n v="393"/>
    <n v="8.7344200000000001"/>
    <n v="14.63"/>
    <n v="5749.59"/>
    <x v="3"/>
    <n v="3"/>
    <x v="1"/>
  </r>
  <r>
    <x v="101"/>
    <n v="2"/>
    <d v="2004-03-31T00:00:00"/>
    <s v="V-Tape"/>
    <n v="1524"/>
    <n v="1.5080640000000001"/>
    <n v="3"/>
    <n v="4572"/>
    <x v="3"/>
    <n v="3"/>
    <x v="1"/>
  </r>
  <r>
    <x v="101"/>
    <n v="3"/>
    <d v="2004-03-31T00:00:00"/>
    <s v="S-Ringbind-Gul"/>
    <n v="479"/>
    <n v="6.03"/>
    <n v="12.18"/>
    <n v="5834.22"/>
    <x v="3"/>
    <n v="3"/>
    <x v="1"/>
  </r>
  <r>
    <x v="101"/>
    <n v="5"/>
    <d v="2004-03-31T00:00:00"/>
    <s v="S-Ringbind-Gul"/>
    <n v="1361"/>
    <n v="6.03"/>
    <n v="12.18"/>
    <n v="16576.98"/>
    <x v="3"/>
    <n v="3"/>
    <x v="1"/>
  </r>
  <r>
    <x v="102"/>
    <n v="4"/>
    <d v="2004-02-28T00:00:00"/>
    <s v="V-Papir"/>
    <n v="866"/>
    <n v="5.004390986602"/>
    <n v="10"/>
    <n v="8660"/>
    <x v="3"/>
    <n v="2"/>
    <x v="1"/>
  </r>
  <r>
    <x v="102"/>
    <n v="5"/>
    <d v="2004-02-28T00:00:00"/>
    <s v="S-Ringbind-Blå"/>
    <n v="1839"/>
    <n v="7.52"/>
    <n v="16.940000000000001"/>
    <n v="31152.660000000003"/>
    <x v="3"/>
    <n v="2"/>
    <x v="1"/>
  </r>
  <r>
    <x v="103"/>
    <n v="1"/>
    <d v="2007-04-30T00:00:00"/>
    <s v="S-Ringbind-Gul"/>
    <n v="1000"/>
    <n v="6.03"/>
    <n v="12.18"/>
    <n v="12180"/>
    <x v="0"/>
    <n v="4"/>
    <x v="0"/>
  </r>
  <r>
    <x v="104"/>
    <n v="1"/>
    <d v="2005-08-31T00:00:00"/>
    <s v="S-Ringbind-Sort"/>
    <n v="62"/>
    <n v="8.7344200000000001"/>
    <n v="14.63"/>
    <n v="907.06000000000006"/>
    <x v="2"/>
    <n v="8"/>
    <x v="3"/>
  </r>
  <r>
    <x v="104"/>
    <n v="4"/>
    <d v="2005-08-31T00:00:00"/>
    <s v="V-Index31"/>
    <n v="481"/>
    <n v="30.002954638333001"/>
    <n v="35"/>
    <n v="16835"/>
    <x v="2"/>
    <n v="8"/>
    <x v="3"/>
  </r>
  <r>
    <x v="105"/>
    <n v="1"/>
    <d v="2005-08-31T00:00:00"/>
    <s v="S-Ringbind-Gul"/>
    <n v="36"/>
    <n v="6.03"/>
    <n v="12.18"/>
    <n v="438.48"/>
    <x v="2"/>
    <n v="8"/>
    <x v="3"/>
  </r>
  <r>
    <x v="105"/>
    <n v="2"/>
    <d v="2005-08-31T00:00:00"/>
    <s v="S-Ringbind-Rød"/>
    <n v="474"/>
    <n v="6.26"/>
    <n v="12.18"/>
    <n v="5773.32"/>
    <x v="2"/>
    <n v="8"/>
    <x v="3"/>
  </r>
  <r>
    <x v="106"/>
    <n v="3"/>
    <d v="2005-03-31T00:00:00"/>
    <s v="S-Ringbind-Blå"/>
    <n v="193"/>
    <n v="7.52"/>
    <n v="16.940000000000001"/>
    <n v="3269.42"/>
    <x v="2"/>
    <n v="3"/>
    <x v="1"/>
  </r>
  <r>
    <x v="106"/>
    <n v="4"/>
    <d v="2005-03-31T00:00:00"/>
    <s v="S-Ringbind-Gul"/>
    <n v="614"/>
    <n v="6.03"/>
    <n v="12.18"/>
    <n v="7478.5199999999995"/>
    <x v="2"/>
    <n v="3"/>
    <x v="1"/>
  </r>
  <r>
    <x v="107"/>
    <n v="2"/>
    <d v="2005-01-31T00:00:00"/>
    <s v="V-Index31"/>
    <n v="255"/>
    <n v="30.002954638333001"/>
    <n v="35"/>
    <n v="8925"/>
    <x v="2"/>
    <n v="1"/>
    <x v="1"/>
  </r>
  <r>
    <x v="107"/>
    <n v="4"/>
    <d v="2005-01-31T00:00:00"/>
    <s v="S-Ringbind-Rød"/>
    <n v="151"/>
    <n v="6.26"/>
    <n v="12.18"/>
    <n v="1839.18"/>
    <x v="2"/>
    <n v="1"/>
    <x v="1"/>
  </r>
  <r>
    <x v="107"/>
    <n v="6"/>
    <d v="2005-01-31T00:00:00"/>
    <s v="V-Tape"/>
    <n v="1286"/>
    <n v="1.5080640000000001"/>
    <n v="3"/>
    <n v="3858"/>
    <x v="2"/>
    <n v="1"/>
    <x v="1"/>
  </r>
  <r>
    <x v="107"/>
    <n v="8"/>
    <d v="2005-01-31T00:00:00"/>
    <s v="S-Ringbind-Blå"/>
    <n v="1455"/>
    <n v="7.52"/>
    <n v="16.940000000000001"/>
    <n v="24647.7"/>
    <x v="2"/>
    <n v="1"/>
    <x v="1"/>
  </r>
  <r>
    <x v="108"/>
    <n v="1"/>
    <d v="2004-11-30T00:00:00"/>
    <s v="S-Ringbind-Blå"/>
    <n v="913"/>
    <n v="7.52"/>
    <n v="16.940000000000001"/>
    <n v="15466.220000000001"/>
    <x v="3"/>
    <n v="11"/>
    <x v="2"/>
  </r>
  <r>
    <x v="109"/>
    <n v="1"/>
    <d v="2004-09-30T00:00:00"/>
    <s v="V-Tape"/>
    <n v="1287"/>
    <n v="1.5080640000000001"/>
    <n v="3"/>
    <n v="3861"/>
    <x v="3"/>
    <n v="9"/>
    <x v="3"/>
  </r>
  <r>
    <x v="109"/>
    <n v="2"/>
    <d v="2004-09-30T00:00:00"/>
    <s v="S-Ringbind-Gul"/>
    <n v="1378"/>
    <n v="6.03"/>
    <n v="12.18"/>
    <n v="16784.04"/>
    <x v="3"/>
    <n v="9"/>
    <x v="3"/>
  </r>
  <r>
    <x v="110"/>
    <n v="2"/>
    <d v="2004-08-31T00:00:00"/>
    <s v="S-Ringbind-Blå"/>
    <n v="1481"/>
    <n v="7.52"/>
    <n v="16.940000000000001"/>
    <n v="25088.140000000003"/>
    <x v="3"/>
    <n v="8"/>
    <x v="3"/>
  </r>
  <r>
    <x v="111"/>
    <n v="1"/>
    <d v="2004-08-31T00:00:00"/>
    <s v="S-Ringbind-Blå"/>
    <n v="710"/>
    <n v="7.52"/>
    <n v="16.940000000000001"/>
    <n v="12027.400000000001"/>
    <x v="3"/>
    <n v="8"/>
    <x v="3"/>
  </r>
  <r>
    <x v="111"/>
    <n v="2"/>
    <d v="2004-08-31T00:00:00"/>
    <s v="S-Ringbind-Rød"/>
    <n v="563"/>
    <n v="6.26"/>
    <n v="12.18"/>
    <n v="6857.34"/>
    <x v="3"/>
    <n v="8"/>
    <x v="3"/>
  </r>
  <r>
    <x v="111"/>
    <n v="3"/>
    <d v="2004-08-31T00:00:00"/>
    <s v="S-Ringbind-Gul"/>
    <n v="1431"/>
    <n v="6.03"/>
    <n v="12.18"/>
    <n v="17429.579999999998"/>
    <x v="3"/>
    <n v="8"/>
    <x v="3"/>
  </r>
  <r>
    <x v="112"/>
    <n v="2"/>
    <d v="2004-07-31T00:00:00"/>
    <s v="S-Ringbind-Gul"/>
    <n v="1456"/>
    <n v="6.03"/>
    <n v="12.18"/>
    <n v="17734.079999999998"/>
    <x v="3"/>
    <n v="7"/>
    <x v="3"/>
  </r>
  <r>
    <x v="113"/>
    <n v="1"/>
    <d v="2004-05-31T00:00:00"/>
    <s v="S-Ringbind-Gul"/>
    <n v="1744"/>
    <n v="6.03"/>
    <n v="12.18"/>
    <n v="21241.919999999998"/>
    <x v="3"/>
    <n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10" firstHeaderRow="1" firstDataRow="3" firstDataCol="1" rowPageCount="1" colPageCount="1"/>
  <pivotFields count="11">
    <pivotField axis="axisPage" numFmtId="1" showAll="0">
      <items count="115">
        <item x="30"/>
        <item x="42"/>
        <item x="102"/>
        <item x="53"/>
        <item x="68"/>
        <item x="41"/>
        <item x="101"/>
        <item x="100"/>
        <item x="52"/>
        <item x="40"/>
        <item x="39"/>
        <item x="84"/>
        <item x="29"/>
        <item x="28"/>
        <item x="38"/>
        <item x="27"/>
        <item x="67"/>
        <item x="113"/>
        <item x="93"/>
        <item x="26"/>
        <item x="92"/>
        <item x="25"/>
        <item x="112"/>
        <item x="37"/>
        <item x="66"/>
        <item x="24"/>
        <item x="51"/>
        <item x="111"/>
        <item x="110"/>
        <item x="83"/>
        <item x="23"/>
        <item x="91"/>
        <item x="82"/>
        <item x="50"/>
        <item x="65"/>
        <item x="109"/>
        <item x="22"/>
        <item x="21"/>
        <item x="64"/>
        <item x="49"/>
        <item x="81"/>
        <item x="20"/>
        <item x="99"/>
        <item x="108"/>
        <item x="19"/>
        <item x="98"/>
        <item x="80"/>
        <item x="63"/>
        <item x="62"/>
        <item x="61"/>
        <item x="97"/>
        <item x="36"/>
        <item x="79"/>
        <item x="18"/>
        <item x="35"/>
        <item x="107"/>
        <item x="17"/>
        <item x="48"/>
        <item x="16"/>
        <item x="60"/>
        <item x="96"/>
        <item x="59"/>
        <item x="15"/>
        <item x="95"/>
        <item x="34"/>
        <item x="106"/>
        <item x="47"/>
        <item x="46"/>
        <item x="14"/>
        <item x="13"/>
        <item x="78"/>
        <item x="12"/>
        <item x="58"/>
        <item x="77"/>
        <item x="76"/>
        <item x="90"/>
        <item x="75"/>
        <item x="11"/>
        <item x="89"/>
        <item x="33"/>
        <item x="105"/>
        <item x="104"/>
        <item x="88"/>
        <item x="74"/>
        <item x="87"/>
        <item x="57"/>
        <item x="5"/>
        <item x="56"/>
        <item x="45"/>
        <item x="73"/>
        <item x="10"/>
        <item x="94"/>
        <item x="9"/>
        <item x="8"/>
        <item x="72"/>
        <item x="71"/>
        <item x="32"/>
        <item x="7"/>
        <item x="4"/>
        <item x="2"/>
        <item x="6"/>
        <item x="1"/>
        <item x="3"/>
        <item x="86"/>
        <item x="70"/>
        <item x="55"/>
        <item x="44"/>
        <item x="103"/>
        <item x="43"/>
        <item x="0"/>
        <item x="31"/>
        <item x="69"/>
        <item x="85"/>
        <item x="54"/>
        <item t="default"/>
      </items>
    </pivotField>
    <pivotField showAll="0"/>
    <pivotField numFmtId="14" showAll="0"/>
    <pivotField showAll="0"/>
    <pivotField numFmtId="165" showAll="0"/>
    <pivotField numFmtId="164" showAll="0"/>
    <pivotField numFmtId="164" showAll="0"/>
    <pivotField dataField="1" numFmtId="165" showAll="0"/>
    <pivotField axis="axisRow" showAll="0">
      <items count="5">
        <item x="3"/>
        <item x="2"/>
        <item x="1"/>
        <item x="0"/>
        <item t="default"/>
      </items>
    </pivotField>
    <pivotField showAll="0"/>
    <pivotField axis="axisCol" numFmtId="165" showAll="0">
      <items count="5">
        <item x="1"/>
        <item x="0"/>
        <item x="3"/>
        <item x="2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2">
    <field x="10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pageFields count="1">
    <pageField fld="0" hier="-1"/>
  </pageFields>
  <dataFields count="2">
    <dataField name="Omsæting i DKK" fld="7" baseField="8" baseItem="0" numFmtId="164"/>
    <dataField name="% af total" fld="7" showDataAs="percentOfTotal" baseField="8" baseItem="3" numFmtId="1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XAL35" growShrinkType="insertClear" fillFormulas="1" connectionId="1" autoFormatId="16" applyNumberFormats="0" applyBorderFormats="0" applyFontFormats="1" applyPatternFormats="1" applyAlignmentFormats="0" applyWidthHeightFormats="0">
  <queryTableRefresh nextId="14">
    <queryTableFields count="5">
      <queryTableField id="1" name="InvoiceNumber"/>
      <queryTableField id="2" name="Invoicedate"/>
      <queryTableField id="12" dataBound="0" fillFormulas="1"/>
      <queryTableField id="13" dataBound="0" fillFormulas="1"/>
      <queryTableField id="5" name="Invoiceaccount"/>
    </queryTableFields>
    <queryTableDeletedFields count="7">
      <deletedField name="Invoiceamount"/>
      <deletedField name="Attention"/>
      <deletedField name="Address2"/>
      <deletedField name="Address1"/>
      <deletedField name="Address3"/>
      <deletedField name="Invoiceduedate"/>
      <deletedField name="Name"/>
    </queryTableDeletedFields>
    <sortState ref="A3:E115">
      <sortCondition ref="B2"/>
    </sortState>
  </queryTableRefresh>
</queryTable>
</file>

<file path=xl/queryTables/queryTable2.xml><?xml version="1.0" encoding="utf-8"?>
<queryTable xmlns="http://schemas.openxmlformats.org/spreadsheetml/2006/main" name="Query from XAL35" growShrinkType="insertClear" fillFormulas="1" connectionId="2" autoFormatId="16" applyNumberFormats="0" applyBorderFormats="0" applyFontFormats="1" applyPatternFormats="1" applyAlignmentFormats="0" applyWidthHeightFormats="0">
  <queryTableRefresh nextId="24">
    <queryTableFields count="8">
      <queryTableField id="1" name="InvoiceNumber"/>
      <queryTableField id="2" name="LineNo"/>
      <queryTableField id="3" name="Invoicedate"/>
      <queryTableField id="22" dataBound="0" fillFormulas="1"/>
      <queryTableField id="4" name="Qty"/>
      <queryTableField id="5" name="CostValue"/>
      <queryTableField id="6" name="SalesPrice"/>
      <queryTableField id="7" name="LineAmount"/>
    </queryTableFields>
    <queryTableDeletedFields count="5">
      <deletedField name="VatAmount"/>
      <deletedField name="Salesrep"/>
      <deletedField name="SalesNumber"/>
      <deletedField name="ExchangeCode"/>
      <deletedField name="VatCode"/>
    </queryTableDeletedFields>
  </queryTableRefresh>
</queryTable>
</file>

<file path=xl/queryTables/queryTable3.xml><?xml version="1.0" encoding="utf-8"?>
<queryTable xmlns="http://schemas.openxmlformats.org/spreadsheetml/2006/main" name="Query from XAL35" growShrinkType="insertClear" fillFormulas="1" connectionId="3" autoFormatId="16" applyNumberFormats="0" applyBorderFormats="0" applyFontFormats="1" applyPatternFormats="1" applyAlignmentFormats="0" applyWidthHeightFormats="0">
  <queryTableRefresh nextId="7">
    <queryTableFields count="4">
      <queryTableField id="1" name="ItemNumber"/>
      <queryTableField id="2" name="ItemName"/>
      <queryTableField id="3" name="SalesPrice"/>
      <queryTableField id="4" name="CostPrice"/>
    </queryTableFields>
    <queryTableDeletedFields count="2">
      <deletedField name="DeliveryTime"/>
      <deletedField name="ItemGroup"/>
    </queryTableDeletedFields>
    <sortState ref="A3:D31">
      <sortCondition ref="A2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="90" zoomScaleNormal="90" workbookViewId="0">
      <selection activeCell="B18" sqref="B18"/>
    </sheetView>
  </sheetViews>
  <sheetFormatPr defaultRowHeight="12.75" x14ac:dyDescent="0.2"/>
  <cols>
    <col min="1" max="1" width="12.85546875" style="4" bestFit="1" customWidth="1"/>
    <col min="2" max="2" width="32.140625" bestFit="1" customWidth="1"/>
    <col min="3" max="3" width="23.140625" customWidth="1"/>
    <col min="4" max="4" width="12.28515625" customWidth="1"/>
    <col min="5" max="5" width="16.42578125" customWidth="1"/>
    <col min="6" max="6" width="11.28515625" customWidth="1"/>
    <col min="7" max="7" width="17.42578125" bestFit="1" customWidth="1"/>
    <col min="8" max="8" width="23.42578125" style="11" bestFit="1" customWidth="1"/>
  </cols>
  <sheetData>
    <row r="1" spans="1:8" ht="25.5" customHeight="1" x14ac:dyDescent="0.2">
      <c r="A1" s="2" t="s">
        <v>175</v>
      </c>
      <c r="B1" s="1" t="s">
        <v>164</v>
      </c>
      <c r="C1" s="1" t="s">
        <v>144</v>
      </c>
      <c r="D1" s="1" t="s">
        <v>141</v>
      </c>
      <c r="E1" s="1" t="s">
        <v>155</v>
      </c>
      <c r="F1" s="1" t="s">
        <v>131</v>
      </c>
      <c r="G1" s="1" t="s">
        <v>142</v>
      </c>
      <c r="H1" s="10" t="s">
        <v>165</v>
      </c>
    </row>
    <row r="2" spans="1:8" x14ac:dyDescent="0.2">
      <c r="A2" s="4">
        <v>3105</v>
      </c>
      <c r="B2" t="s">
        <v>0</v>
      </c>
      <c r="C2" t="s">
        <v>1</v>
      </c>
      <c r="D2" t="s">
        <v>163</v>
      </c>
      <c r="E2" t="s">
        <v>2</v>
      </c>
      <c r="F2" t="s">
        <v>132</v>
      </c>
      <c r="G2" t="s">
        <v>3</v>
      </c>
      <c r="H2" s="11" t="s">
        <v>147</v>
      </c>
    </row>
    <row r="3" spans="1:8" x14ac:dyDescent="0.2">
      <c r="A3" s="4">
        <v>3305</v>
      </c>
      <c r="B3" t="s">
        <v>4</v>
      </c>
      <c r="C3" t="s">
        <v>5</v>
      </c>
      <c r="D3" t="s">
        <v>160</v>
      </c>
      <c r="E3" t="s">
        <v>6</v>
      </c>
      <c r="F3" t="s">
        <v>133</v>
      </c>
      <c r="G3" t="s">
        <v>7</v>
      </c>
      <c r="H3" s="11" t="s">
        <v>147</v>
      </c>
    </row>
    <row r="4" spans="1:8" x14ac:dyDescent="0.2">
      <c r="A4" s="4">
        <v>4305</v>
      </c>
      <c r="B4" t="s">
        <v>8</v>
      </c>
      <c r="C4" t="s">
        <v>9</v>
      </c>
      <c r="D4" t="s">
        <v>161</v>
      </c>
      <c r="E4" t="s">
        <v>10</v>
      </c>
      <c r="F4" t="s">
        <v>134</v>
      </c>
      <c r="G4" t="s">
        <v>11</v>
      </c>
      <c r="H4" s="11" t="s">
        <v>147</v>
      </c>
    </row>
    <row r="5" spans="1:8" x14ac:dyDescent="0.2">
      <c r="A5" s="4">
        <v>4405</v>
      </c>
      <c r="B5" t="s">
        <v>12</v>
      </c>
      <c r="C5" t="s">
        <v>146</v>
      </c>
      <c r="D5" t="s">
        <v>14</v>
      </c>
      <c r="E5" t="s">
        <v>13</v>
      </c>
      <c r="F5" t="s">
        <v>143</v>
      </c>
      <c r="G5" t="s">
        <v>15</v>
      </c>
      <c r="H5" s="11" t="s">
        <v>147</v>
      </c>
    </row>
    <row r="6" spans="1:8" x14ac:dyDescent="0.2">
      <c r="A6" s="4">
        <v>4410</v>
      </c>
      <c r="B6" t="s">
        <v>16</v>
      </c>
      <c r="C6" t="s">
        <v>17</v>
      </c>
      <c r="D6" t="s">
        <v>19</v>
      </c>
      <c r="E6" t="s">
        <v>18</v>
      </c>
      <c r="F6" t="s">
        <v>143</v>
      </c>
      <c r="G6" t="s">
        <v>20</v>
      </c>
      <c r="H6" s="11" t="s">
        <v>147</v>
      </c>
    </row>
    <row r="7" spans="1:8" x14ac:dyDescent="0.2">
      <c r="A7" s="4">
        <v>4505</v>
      </c>
      <c r="B7" t="s">
        <v>21</v>
      </c>
      <c r="C7" t="s">
        <v>22</v>
      </c>
      <c r="D7" t="s">
        <v>168</v>
      </c>
      <c r="E7" t="s">
        <v>23</v>
      </c>
      <c r="F7" t="s">
        <v>135</v>
      </c>
      <c r="G7" t="s">
        <v>24</v>
      </c>
      <c r="H7" s="11" t="s">
        <v>148</v>
      </c>
    </row>
    <row r="8" spans="1:8" x14ac:dyDescent="0.2">
      <c r="A8" s="4">
        <v>4510</v>
      </c>
      <c r="B8" t="s">
        <v>25</v>
      </c>
      <c r="C8" t="s">
        <v>26</v>
      </c>
      <c r="D8" t="s">
        <v>169</v>
      </c>
      <c r="E8" t="s">
        <v>136</v>
      </c>
      <c r="F8" t="s">
        <v>135</v>
      </c>
      <c r="G8" t="s">
        <v>27</v>
      </c>
      <c r="H8" s="11" t="s">
        <v>149</v>
      </c>
    </row>
    <row r="9" spans="1:8" x14ac:dyDescent="0.2">
      <c r="A9" s="4">
        <v>4515</v>
      </c>
      <c r="B9" t="s">
        <v>28</v>
      </c>
      <c r="C9" t="s">
        <v>29</v>
      </c>
      <c r="D9" t="s">
        <v>170</v>
      </c>
      <c r="E9" t="s">
        <v>137</v>
      </c>
      <c r="F9" t="s">
        <v>135</v>
      </c>
      <c r="G9" t="s">
        <v>30</v>
      </c>
      <c r="H9" s="11" t="s">
        <v>149</v>
      </c>
    </row>
    <row r="10" spans="1:8" x14ac:dyDescent="0.2">
      <c r="A10" s="4">
        <v>4520</v>
      </c>
      <c r="B10" t="s">
        <v>31</v>
      </c>
      <c r="C10" t="s">
        <v>32</v>
      </c>
      <c r="D10" t="s">
        <v>171</v>
      </c>
      <c r="E10" t="s">
        <v>33</v>
      </c>
      <c r="F10" t="s">
        <v>135</v>
      </c>
      <c r="G10" t="s">
        <v>34</v>
      </c>
      <c r="H10" s="11" t="s">
        <v>148</v>
      </c>
    </row>
    <row r="11" spans="1:8" x14ac:dyDescent="0.2">
      <c r="A11" s="4">
        <v>4525</v>
      </c>
      <c r="B11" t="s">
        <v>46</v>
      </c>
      <c r="C11" t="s">
        <v>145</v>
      </c>
      <c r="D11" t="s">
        <v>172</v>
      </c>
      <c r="E11" t="s">
        <v>156</v>
      </c>
      <c r="F11" t="s">
        <v>135</v>
      </c>
      <c r="G11" t="s">
        <v>47</v>
      </c>
      <c r="H11" s="11" t="s">
        <v>148</v>
      </c>
    </row>
    <row r="12" spans="1:8" x14ac:dyDescent="0.2">
      <c r="A12" s="4">
        <v>4530</v>
      </c>
      <c r="B12" t="s">
        <v>48</v>
      </c>
      <c r="C12" t="s">
        <v>145</v>
      </c>
      <c r="D12" t="s">
        <v>172</v>
      </c>
      <c r="E12" t="s">
        <v>156</v>
      </c>
      <c r="F12" t="s">
        <v>135</v>
      </c>
      <c r="H12" s="11" t="s">
        <v>148</v>
      </c>
    </row>
    <row r="13" spans="1:8" x14ac:dyDescent="0.2">
      <c r="A13" s="4">
        <v>4605</v>
      </c>
      <c r="B13" t="s">
        <v>35</v>
      </c>
      <c r="C13" t="s">
        <v>36</v>
      </c>
      <c r="D13" t="s">
        <v>162</v>
      </c>
      <c r="E13" t="s">
        <v>37</v>
      </c>
      <c r="F13" t="s">
        <v>138</v>
      </c>
      <c r="G13" t="s">
        <v>38</v>
      </c>
      <c r="H13" s="11" t="s">
        <v>147</v>
      </c>
    </row>
    <row r="14" spans="1:8" x14ac:dyDescent="0.2">
      <c r="A14" s="4">
        <v>4905</v>
      </c>
      <c r="B14" t="s">
        <v>39</v>
      </c>
      <c r="C14" t="s">
        <v>40</v>
      </c>
      <c r="D14" t="s">
        <v>157</v>
      </c>
      <c r="E14" t="s">
        <v>41</v>
      </c>
      <c r="F14" t="s">
        <v>139</v>
      </c>
      <c r="H14" s="11" t="s">
        <v>148</v>
      </c>
    </row>
    <row r="15" spans="1:8" x14ac:dyDescent="0.2">
      <c r="A15" s="4">
        <v>4910</v>
      </c>
      <c r="B15" t="s">
        <v>42</v>
      </c>
      <c r="C15" t="s">
        <v>43</v>
      </c>
      <c r="D15" t="s">
        <v>158</v>
      </c>
      <c r="E15" t="s">
        <v>44</v>
      </c>
      <c r="F15" t="s">
        <v>139</v>
      </c>
      <c r="G15" t="s">
        <v>45</v>
      </c>
      <c r="H15" s="11" t="s">
        <v>149</v>
      </c>
    </row>
    <row r="16" spans="1:8" x14ac:dyDescent="0.2">
      <c r="A16" s="4">
        <v>5517</v>
      </c>
      <c r="B16" t="s">
        <v>49</v>
      </c>
      <c r="C16" t="s">
        <v>50</v>
      </c>
      <c r="D16" t="s">
        <v>173</v>
      </c>
      <c r="E16" t="s">
        <v>51</v>
      </c>
      <c r="F16" t="s">
        <v>135</v>
      </c>
      <c r="G16" t="s">
        <v>52</v>
      </c>
      <c r="H16" s="11" t="s">
        <v>148</v>
      </c>
    </row>
    <row r="17" spans="1:8" x14ac:dyDescent="0.2">
      <c r="A17" s="4">
        <v>5615</v>
      </c>
      <c r="B17" t="s">
        <v>53</v>
      </c>
      <c r="C17" t="s">
        <v>54</v>
      </c>
      <c r="D17" t="s">
        <v>56</v>
      </c>
      <c r="E17" t="s">
        <v>55</v>
      </c>
      <c r="F17" t="s">
        <v>139</v>
      </c>
      <c r="H17" s="11" t="s">
        <v>148</v>
      </c>
    </row>
    <row r="18" spans="1:8" x14ac:dyDescent="0.2">
      <c r="A18" s="4">
        <v>5910</v>
      </c>
      <c r="B18" t="s">
        <v>57</v>
      </c>
      <c r="C18" t="s">
        <v>58</v>
      </c>
      <c r="D18" t="s">
        <v>174</v>
      </c>
      <c r="E18" t="s">
        <v>159</v>
      </c>
      <c r="F18" t="s">
        <v>135</v>
      </c>
      <c r="G18" t="s">
        <v>59</v>
      </c>
      <c r="H18" s="11" t="s">
        <v>148</v>
      </c>
    </row>
  </sheetData>
  <phoneticPr fontId="0" type="noConversion"/>
  <pageMargins left="0.75" right="0.75" top="1" bottom="1" header="0.5" footer="0.5"/>
  <pageSetup paperSize="9" scale="89" orientation="landscape" horizontalDpi="300" verticalDpi="300" r:id="rId1"/>
  <headerFooter alignWithMargins="0"/>
  <ignoredErrors>
    <ignoredError sqref="D5:D6 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workbookViewId="0">
      <selection activeCell="G3" sqref="G3"/>
    </sheetView>
  </sheetViews>
  <sheetFormatPr defaultRowHeight="12.75" x14ac:dyDescent="0.2"/>
  <cols>
    <col min="1" max="1" width="16.28515625" style="4" bestFit="1" customWidth="1"/>
    <col min="2" max="2" width="12.85546875" style="3" bestFit="1" customWidth="1"/>
    <col min="3" max="3" width="27.140625" style="5" bestFit="1" customWidth="1"/>
    <col min="4" max="4" width="16" style="9" customWidth="1"/>
    <col min="5" max="5" width="16.5703125" style="4" bestFit="1" customWidth="1"/>
    <col min="6" max="6" width="23.42578125" customWidth="1"/>
    <col min="7" max="7" width="18.28515625" style="4" customWidth="1"/>
  </cols>
  <sheetData>
    <row r="1" spans="1:7" x14ac:dyDescent="0.2">
      <c r="A1" s="26" t="s">
        <v>93</v>
      </c>
      <c r="B1" s="27" t="s">
        <v>62</v>
      </c>
      <c r="C1" s="28" t="s">
        <v>140</v>
      </c>
      <c r="D1" s="29" t="s">
        <v>66</v>
      </c>
      <c r="E1" s="30" t="s">
        <v>175</v>
      </c>
      <c r="F1" s="13" t="s">
        <v>165</v>
      </c>
      <c r="G1" s="13" t="s">
        <v>150</v>
      </c>
    </row>
    <row r="2" spans="1:7" x14ac:dyDescent="0.2">
      <c r="A2" s="4">
        <v>5000</v>
      </c>
      <c r="B2" s="3">
        <v>38045</v>
      </c>
      <c r="C2" s="5">
        <v>84686</v>
      </c>
      <c r="D2" s="9" t="s">
        <v>68</v>
      </c>
      <c r="E2" s="4">
        <v>4530</v>
      </c>
      <c r="F2" s="12" t="str">
        <f>VLOOKUP($E$2:$E$115,Debitorer!$A$2:$H$18,8)</f>
        <v>Løbende måned + 30 dage</v>
      </c>
      <c r="G2" s="164">
        <f>IF(Fakturaer!F2=Debitorer!$H$9,Fakturaer!B2,IF(Fakturaer!F2=Debitorer!$H$16,EOMONTH(Fakturaer!B2,1),IF(Fakturaer!F2=Debitorer!$H$13,EOMONTH(Fakturaer!B2,2))))</f>
        <v>38077</v>
      </c>
    </row>
    <row r="3" spans="1:7" x14ac:dyDescent="0.2">
      <c r="A3" s="4">
        <v>5001</v>
      </c>
      <c r="B3" s="3">
        <v>38045</v>
      </c>
      <c r="C3" s="5">
        <v>62317</v>
      </c>
      <c r="D3" s="9" t="s">
        <v>68</v>
      </c>
      <c r="E3" s="4">
        <v>4520</v>
      </c>
      <c r="F3" s="12" t="str">
        <f>VLOOKUP($E$2:$E$115,Debitorer!$A$2:$H$18,8)</f>
        <v>Løbende måned + 30 dage</v>
      </c>
      <c r="G3" s="164">
        <f>IF(Fakturaer!F3=Debitorer!$H$9,Fakturaer!B3,IF(Fakturaer!F3=Debitorer!$H$16,EOMONTH(Fakturaer!B3,1),IF(Fakturaer!F3=Debitorer!$H$13,EOMONTH(Fakturaer!B3,2))))</f>
        <v>38077</v>
      </c>
    </row>
    <row r="4" spans="1:7" x14ac:dyDescent="0.2">
      <c r="A4" s="4">
        <v>5005</v>
      </c>
      <c r="B4" s="3">
        <v>38045</v>
      </c>
      <c r="C4" s="5">
        <v>34406</v>
      </c>
      <c r="D4" s="9" t="s">
        <v>73</v>
      </c>
      <c r="E4" s="4">
        <v>3305</v>
      </c>
      <c r="F4" s="12" t="str">
        <f>VLOOKUP($E$2:$E$115,Debitorer!$A$2:$H$18,8)</f>
        <v>Løbende måned + 60 dage</v>
      </c>
      <c r="G4" s="164">
        <f>IF(Fakturaer!F4=Debitorer!$H$9,Fakturaer!B4,IF(Fakturaer!F4=Debitorer!$H$16,EOMONTH(Fakturaer!B4,1),IF(Fakturaer!F4=Debitorer!$H$13,EOMONTH(Fakturaer!B4,2))))</f>
        <v>38107</v>
      </c>
    </row>
    <row r="5" spans="1:7" x14ac:dyDescent="0.2">
      <c r="A5" s="4">
        <v>5008</v>
      </c>
      <c r="B5" s="3">
        <v>38077</v>
      </c>
      <c r="C5" s="5">
        <v>52380</v>
      </c>
      <c r="D5" s="9" t="s">
        <v>68</v>
      </c>
      <c r="E5" s="4">
        <v>4515</v>
      </c>
      <c r="F5" s="12" t="str">
        <f>VLOOKUP($E$2:$E$115,Debitorer!$A$2:$H$18,8)</f>
        <v>Netto kontant</v>
      </c>
      <c r="G5" s="164">
        <f>IF(Fakturaer!F5=Debitorer!$H$9,Fakturaer!B5,IF(Fakturaer!F5=Debitorer!$H$16,EOMONTH(Fakturaer!B5,1),IF(Fakturaer!F5=Debitorer!$H$13,EOMONTH(Fakturaer!B5,2))))</f>
        <v>38077</v>
      </c>
    </row>
    <row r="6" spans="1:7" x14ac:dyDescent="0.2">
      <c r="A6" s="4">
        <v>5012</v>
      </c>
      <c r="B6" s="3">
        <v>38077</v>
      </c>
      <c r="C6" s="5">
        <v>21288</v>
      </c>
      <c r="D6" s="9" t="s">
        <v>68</v>
      </c>
      <c r="E6" s="4">
        <v>4510</v>
      </c>
      <c r="F6" s="12" t="str">
        <f>VLOOKUP($E$2:$E$115,Debitorer!$A$2:$H$18,8)</f>
        <v>Netto kontant</v>
      </c>
      <c r="G6" s="164">
        <f>IF(Fakturaer!F6=Debitorer!$H$9,Fakturaer!B6,IF(Fakturaer!F6=Debitorer!$H$16,EOMONTH(Fakturaer!B6,1),IF(Fakturaer!F6=Debitorer!$H$13,EOMONTH(Fakturaer!B6,2))))</f>
        <v>38077</v>
      </c>
    </row>
    <row r="7" spans="1:7" x14ac:dyDescent="0.2">
      <c r="A7" s="4">
        <v>5013</v>
      </c>
      <c r="B7" s="3">
        <v>38077</v>
      </c>
      <c r="C7" s="5">
        <v>40627</v>
      </c>
      <c r="D7" s="9" t="s">
        <v>68</v>
      </c>
      <c r="E7" s="4">
        <v>4520</v>
      </c>
      <c r="F7" s="12" t="str">
        <f>VLOOKUP($E$2:$E$115,Debitorer!$A$2:$H$18,8)</f>
        <v>Løbende måned + 30 dage</v>
      </c>
      <c r="G7" s="164">
        <f>IF(Fakturaer!F7=Debitorer!$H$9,Fakturaer!B7,IF(Fakturaer!F7=Debitorer!$H$16,EOMONTH(Fakturaer!B7,1),IF(Fakturaer!F7=Debitorer!$H$13,EOMONTH(Fakturaer!B7,2))))</f>
        <v>38107</v>
      </c>
    </row>
    <row r="8" spans="1:7" x14ac:dyDescent="0.2">
      <c r="A8" s="4">
        <v>5014</v>
      </c>
      <c r="B8" s="3">
        <v>38077</v>
      </c>
      <c r="C8" s="5">
        <v>32547</v>
      </c>
      <c r="D8" s="9" t="s">
        <v>73</v>
      </c>
      <c r="E8" s="4">
        <v>3305</v>
      </c>
      <c r="F8" s="12" t="str">
        <f>VLOOKUP($E$2:$E$115,Debitorer!$A$2:$H$18,8)</f>
        <v>Løbende måned + 60 dage</v>
      </c>
      <c r="G8" s="164">
        <f>IF(Fakturaer!F8=Debitorer!$H$9,Fakturaer!B8,IF(Fakturaer!F8=Debitorer!$H$16,EOMONTH(Fakturaer!B8,1),IF(Fakturaer!F8=Debitorer!$H$13,EOMONTH(Fakturaer!B8,2))))</f>
        <v>38138</v>
      </c>
    </row>
    <row r="9" spans="1:7" x14ac:dyDescent="0.2">
      <c r="A9" s="4">
        <v>5017</v>
      </c>
      <c r="B9" s="3">
        <v>38077</v>
      </c>
      <c r="C9" s="5">
        <v>40960</v>
      </c>
      <c r="D9" s="9" t="s">
        <v>73</v>
      </c>
      <c r="E9" s="4">
        <v>3305</v>
      </c>
      <c r="F9" s="12" t="str">
        <f>VLOOKUP($E$2:$E$115,Debitorer!$A$2:$H$18,8)</f>
        <v>Løbende måned + 60 dage</v>
      </c>
      <c r="G9" s="164">
        <f>IF(Fakturaer!F9=Debitorer!$H$9,Fakturaer!B9,IF(Fakturaer!F9=Debitorer!$H$16,EOMONTH(Fakturaer!B9,1),IF(Fakturaer!F9=Debitorer!$H$13,EOMONTH(Fakturaer!B9,2))))</f>
        <v>38138</v>
      </c>
    </row>
    <row r="10" spans="1:7" x14ac:dyDescent="0.2">
      <c r="A10" s="4">
        <v>5020</v>
      </c>
      <c r="B10" s="3">
        <v>38107</v>
      </c>
      <c r="C10" s="5">
        <v>46340</v>
      </c>
      <c r="D10" s="9" t="s">
        <v>68</v>
      </c>
      <c r="E10" s="4">
        <v>4515</v>
      </c>
      <c r="F10" s="12" t="str">
        <f>VLOOKUP($E$2:$E$115,Debitorer!$A$2:$H$18,8)</f>
        <v>Netto kontant</v>
      </c>
      <c r="G10" s="164">
        <f>IF(Fakturaer!F10=Debitorer!$H$9,Fakturaer!B10,IF(Fakturaer!F10=Debitorer!$H$16,EOMONTH(Fakturaer!B10,1),IF(Fakturaer!F10=Debitorer!$H$13,EOMONTH(Fakturaer!B10,2))))</f>
        <v>38107</v>
      </c>
    </row>
    <row r="11" spans="1:7" x14ac:dyDescent="0.2">
      <c r="A11" s="4">
        <v>5023</v>
      </c>
      <c r="B11" s="3">
        <v>38107</v>
      </c>
      <c r="C11" s="5">
        <v>39928</v>
      </c>
      <c r="D11" s="9" t="s">
        <v>68</v>
      </c>
      <c r="E11" s="4">
        <v>4520</v>
      </c>
      <c r="F11" s="12" t="str">
        <f>VLOOKUP($E$2:$E$115,Debitorer!$A$2:$H$18,8)</f>
        <v>Løbende måned + 30 dage</v>
      </c>
      <c r="G11" s="164">
        <f>IF(Fakturaer!F11=Debitorer!$H$9,Fakturaer!B11,IF(Fakturaer!F11=Debitorer!$H$16,EOMONTH(Fakturaer!B11,1),IF(Fakturaer!F11=Debitorer!$H$13,EOMONTH(Fakturaer!B11,2))))</f>
        <v>38138</v>
      </c>
    </row>
    <row r="12" spans="1:7" x14ac:dyDescent="0.2">
      <c r="A12" s="4">
        <v>5024</v>
      </c>
      <c r="B12" s="3">
        <v>38107</v>
      </c>
      <c r="C12" s="5">
        <v>41400</v>
      </c>
      <c r="D12" s="9" t="s">
        <v>68</v>
      </c>
      <c r="E12" s="4">
        <v>4520</v>
      </c>
      <c r="F12" s="12" t="str">
        <f>VLOOKUP($E$2:$E$115,Debitorer!$A$2:$H$18,8)</f>
        <v>Løbende måned + 30 dage</v>
      </c>
      <c r="G12" s="164">
        <f>IF(Fakturaer!F12=Debitorer!$H$9,Fakturaer!B12,IF(Fakturaer!F12=Debitorer!$H$16,EOMONTH(Fakturaer!B12,1),IF(Fakturaer!F12=Debitorer!$H$13,EOMONTH(Fakturaer!B12,2))))</f>
        <v>38138</v>
      </c>
    </row>
    <row r="13" spans="1:7" x14ac:dyDescent="0.2">
      <c r="A13" s="4">
        <v>5030</v>
      </c>
      <c r="B13" s="3">
        <v>38138</v>
      </c>
      <c r="C13" s="5">
        <v>6054</v>
      </c>
      <c r="D13" s="9" t="s">
        <v>68</v>
      </c>
      <c r="E13" s="4">
        <v>4505</v>
      </c>
      <c r="F13" s="12" t="str">
        <f>VLOOKUP($E$2:$E$115,Debitorer!$A$2:$H$18,8)</f>
        <v>Løbende måned + 30 dage</v>
      </c>
      <c r="G13" s="164">
        <f>IF(Fakturaer!F13=Debitorer!$H$9,Fakturaer!B13,IF(Fakturaer!F13=Debitorer!$H$16,EOMONTH(Fakturaer!B13,1),IF(Fakturaer!F13=Debitorer!$H$13,EOMONTH(Fakturaer!B13,2))))</f>
        <v>38168</v>
      </c>
    </row>
    <row r="14" spans="1:7" x14ac:dyDescent="0.2">
      <c r="A14" s="4">
        <v>5031</v>
      </c>
      <c r="B14" s="3">
        <v>38138</v>
      </c>
      <c r="C14" s="5">
        <v>18204</v>
      </c>
      <c r="D14" s="9" t="s">
        <v>68</v>
      </c>
      <c r="E14" s="4">
        <v>4530</v>
      </c>
      <c r="F14" s="12" t="str">
        <f>VLOOKUP($E$2:$E$115,Debitorer!$A$2:$H$18,8)</f>
        <v>Løbende måned + 30 dage</v>
      </c>
      <c r="G14" s="164">
        <f>IF(Fakturaer!F14=Debitorer!$H$9,Fakturaer!B14,IF(Fakturaer!F14=Debitorer!$H$16,EOMONTH(Fakturaer!B14,1),IF(Fakturaer!F14=Debitorer!$H$13,EOMONTH(Fakturaer!B14,2))))</f>
        <v>38168</v>
      </c>
    </row>
    <row r="15" spans="1:7" x14ac:dyDescent="0.2">
      <c r="A15" s="4">
        <v>5036</v>
      </c>
      <c r="B15" s="3">
        <v>38138</v>
      </c>
      <c r="C15" s="5">
        <v>19434</v>
      </c>
      <c r="D15" s="9" t="s">
        <v>68</v>
      </c>
      <c r="E15" s="4">
        <v>4530</v>
      </c>
      <c r="F15" s="12" t="str">
        <f>VLOOKUP($E$2:$E$115,Debitorer!$A$2:$H$18,8)</f>
        <v>Løbende måned + 30 dage</v>
      </c>
      <c r="G15" s="164">
        <f>IF(Fakturaer!F15=Debitorer!$H$9,Fakturaer!B15,IF(Fakturaer!F15=Debitorer!$H$16,EOMONTH(Fakturaer!B15,1),IF(Fakturaer!F15=Debitorer!$H$13,EOMONTH(Fakturaer!B15,2))))</f>
        <v>38168</v>
      </c>
    </row>
    <row r="16" spans="1:7" x14ac:dyDescent="0.2">
      <c r="A16" s="4">
        <v>5037</v>
      </c>
      <c r="B16" s="3">
        <v>38138</v>
      </c>
      <c r="C16" s="5">
        <v>36561</v>
      </c>
      <c r="D16" s="9" t="s">
        <v>68</v>
      </c>
      <c r="E16" s="4">
        <v>4520</v>
      </c>
      <c r="F16" s="12" t="str">
        <f>VLOOKUP($E$2:$E$115,Debitorer!$A$2:$H$18,8)</f>
        <v>Løbende måned + 30 dage</v>
      </c>
      <c r="G16" s="164">
        <f>IF(Fakturaer!F16=Debitorer!$H$9,Fakturaer!B16,IF(Fakturaer!F16=Debitorer!$H$16,EOMONTH(Fakturaer!B16,1),IF(Fakturaer!F16=Debitorer!$H$13,EOMONTH(Fakturaer!B16,2))))</f>
        <v>38168</v>
      </c>
    </row>
    <row r="17" spans="1:7" x14ac:dyDescent="0.2">
      <c r="A17" s="4">
        <v>5038</v>
      </c>
      <c r="B17" s="3">
        <v>38138</v>
      </c>
      <c r="C17" s="5">
        <v>54732</v>
      </c>
      <c r="D17" s="9" t="s">
        <v>68</v>
      </c>
      <c r="E17" s="4">
        <v>4530</v>
      </c>
      <c r="F17" s="12" t="str">
        <f>VLOOKUP($E$2:$E$115,Debitorer!$A$2:$H$18,8)</f>
        <v>Løbende måned + 30 dage</v>
      </c>
      <c r="G17" s="164">
        <f>IF(Fakturaer!F17=Debitorer!$H$9,Fakturaer!B17,IF(Fakturaer!F17=Debitorer!$H$16,EOMONTH(Fakturaer!B17,1),IF(Fakturaer!F17=Debitorer!$H$13,EOMONTH(Fakturaer!B17,2))))</f>
        <v>38168</v>
      </c>
    </row>
    <row r="18" spans="1:7" x14ac:dyDescent="0.2">
      <c r="A18" s="4">
        <v>5039</v>
      </c>
      <c r="B18" s="3">
        <v>38138</v>
      </c>
      <c r="C18" s="5">
        <v>19992</v>
      </c>
      <c r="D18" s="9" t="s">
        <v>68</v>
      </c>
      <c r="E18" s="4">
        <v>4510</v>
      </c>
      <c r="F18" s="12" t="str">
        <f>VLOOKUP($E$2:$E$115,Debitorer!$A$2:$H$18,8)</f>
        <v>Netto kontant</v>
      </c>
      <c r="G18" s="164">
        <f>IF(Fakturaer!F18=Debitorer!$H$9,Fakturaer!B18,IF(Fakturaer!F18=Debitorer!$H$16,EOMONTH(Fakturaer!B18,1),IF(Fakturaer!F18=Debitorer!$H$13,EOMONTH(Fakturaer!B18,2))))</f>
        <v>38138</v>
      </c>
    </row>
    <row r="19" spans="1:7" x14ac:dyDescent="0.2">
      <c r="A19" s="4">
        <v>5043</v>
      </c>
      <c r="B19" s="3">
        <v>38138</v>
      </c>
      <c r="C19" s="5">
        <v>20928</v>
      </c>
      <c r="D19" s="9" t="s">
        <v>73</v>
      </c>
      <c r="E19" s="4">
        <v>3105</v>
      </c>
      <c r="F19" s="12" t="str">
        <f>VLOOKUP($E$2:$E$115,Debitorer!$A$2:$H$18,8)</f>
        <v>Løbende måned + 60 dage</v>
      </c>
      <c r="G19" s="164">
        <f>IF(Fakturaer!F19=Debitorer!$H$9,Fakturaer!B19,IF(Fakturaer!F19=Debitorer!$H$16,EOMONTH(Fakturaer!B19,1),IF(Fakturaer!F19=Debitorer!$H$13,EOMONTH(Fakturaer!B19,2))))</f>
        <v>38199</v>
      </c>
    </row>
    <row r="20" spans="1:7" x14ac:dyDescent="0.2">
      <c r="A20" s="4">
        <v>5048</v>
      </c>
      <c r="B20" s="3">
        <v>38168</v>
      </c>
      <c r="C20" s="5">
        <v>10857</v>
      </c>
      <c r="D20" s="9" t="s">
        <v>68</v>
      </c>
      <c r="E20" s="4">
        <v>4530</v>
      </c>
      <c r="F20" s="12" t="str">
        <f>VLOOKUP($E$2:$E$115,Debitorer!$A$2:$H$18,8)</f>
        <v>Løbende måned + 30 dage</v>
      </c>
      <c r="G20" s="164">
        <f>IF(Fakturaer!F20=Debitorer!$H$9,Fakturaer!B20,IF(Fakturaer!F20=Debitorer!$H$16,EOMONTH(Fakturaer!B20,1),IF(Fakturaer!F20=Debitorer!$H$13,EOMONTH(Fakturaer!B20,2))))</f>
        <v>38199</v>
      </c>
    </row>
    <row r="21" spans="1:7" x14ac:dyDescent="0.2">
      <c r="A21" s="4">
        <v>5046</v>
      </c>
      <c r="B21" s="3">
        <v>38168</v>
      </c>
      <c r="C21" s="5">
        <v>9012</v>
      </c>
      <c r="D21" s="9" t="s">
        <v>73</v>
      </c>
      <c r="E21" s="4">
        <v>4410</v>
      </c>
      <c r="F21" s="12" t="str">
        <f>VLOOKUP($E$2:$E$115,Debitorer!$A$2:$H$18,8)</f>
        <v>Løbende måned + 60 dage</v>
      </c>
      <c r="G21" s="164">
        <f>IF(Fakturaer!F21=Debitorer!$H$9,Fakturaer!B21,IF(Fakturaer!F21=Debitorer!$H$16,EOMONTH(Fakturaer!B21,1),IF(Fakturaer!F21=Debitorer!$H$13,EOMONTH(Fakturaer!B21,2))))</f>
        <v>38230</v>
      </c>
    </row>
    <row r="22" spans="1:7" x14ac:dyDescent="0.2">
      <c r="A22" s="4">
        <v>5049</v>
      </c>
      <c r="B22" s="3">
        <v>38168</v>
      </c>
      <c r="C22" s="5">
        <v>6090</v>
      </c>
      <c r="D22" s="9" t="s">
        <v>73</v>
      </c>
      <c r="E22" s="4">
        <v>4410</v>
      </c>
      <c r="F22" s="12" t="str">
        <f>VLOOKUP($E$2:$E$115,Debitorer!$A$2:$H$18,8)</f>
        <v>Løbende måned + 60 dage</v>
      </c>
      <c r="G22" s="164">
        <f>IF(Fakturaer!F22=Debitorer!$H$9,Fakturaer!B22,IF(Fakturaer!F22=Debitorer!$H$16,EOMONTH(Fakturaer!B22,1),IF(Fakturaer!F22=Debitorer!$H$13,EOMONTH(Fakturaer!B22,2))))</f>
        <v>38230</v>
      </c>
    </row>
    <row r="23" spans="1:7" x14ac:dyDescent="0.2">
      <c r="A23" s="4">
        <v>5052</v>
      </c>
      <c r="B23" s="3">
        <v>38199</v>
      </c>
      <c r="C23" s="5">
        <v>46885</v>
      </c>
      <c r="D23" s="9" t="s">
        <v>68</v>
      </c>
      <c r="E23" s="4">
        <v>4530</v>
      </c>
      <c r="F23" s="12" t="str">
        <f>VLOOKUP($E$2:$E$115,Debitorer!$A$2:$H$18,8)</f>
        <v>Løbende måned + 30 dage</v>
      </c>
      <c r="G23" s="164">
        <f>IF(Fakturaer!F23=Debitorer!$H$9,Fakturaer!B23,IF(Fakturaer!F23=Debitorer!$H$16,EOMONTH(Fakturaer!B23,1),IF(Fakturaer!F23=Debitorer!$H$13,EOMONTH(Fakturaer!B23,2))))</f>
        <v>38230</v>
      </c>
    </row>
    <row r="24" spans="1:7" x14ac:dyDescent="0.2">
      <c r="A24" s="4">
        <v>5055</v>
      </c>
      <c r="B24" s="3">
        <v>38199</v>
      </c>
      <c r="C24" s="5">
        <v>57757</v>
      </c>
      <c r="D24" s="9" t="s">
        <v>68</v>
      </c>
      <c r="E24" s="4">
        <v>4520</v>
      </c>
      <c r="F24" s="12" t="str">
        <f>VLOOKUP($E$2:$E$115,Debitorer!$A$2:$H$18,8)</f>
        <v>Løbende måned + 30 dage</v>
      </c>
      <c r="G24" s="164">
        <f>IF(Fakturaer!F24=Debitorer!$H$9,Fakturaer!B24,IF(Fakturaer!F24=Debitorer!$H$16,EOMONTH(Fakturaer!B24,1),IF(Fakturaer!F24=Debitorer!$H$13,EOMONTH(Fakturaer!B24,2))))</f>
        <v>38230</v>
      </c>
    </row>
    <row r="25" spans="1:7" x14ac:dyDescent="0.2">
      <c r="A25" s="4">
        <v>5053</v>
      </c>
      <c r="B25" s="3">
        <v>38199</v>
      </c>
      <c r="C25" s="5">
        <v>17472</v>
      </c>
      <c r="D25" s="9" t="s">
        <v>73</v>
      </c>
      <c r="E25" s="4">
        <v>3105</v>
      </c>
      <c r="F25" s="12" t="str">
        <f>VLOOKUP($E$2:$E$115,Debitorer!$A$2:$H$18,8)</f>
        <v>Løbende måned + 60 dage</v>
      </c>
      <c r="G25" s="164">
        <f>IF(Fakturaer!F25=Debitorer!$H$9,Fakturaer!B25,IF(Fakturaer!F25=Debitorer!$H$16,EOMONTH(Fakturaer!B25,1),IF(Fakturaer!F25=Debitorer!$H$13,EOMONTH(Fakturaer!B25,2))))</f>
        <v>38260</v>
      </c>
    </row>
    <row r="26" spans="1:7" x14ac:dyDescent="0.2">
      <c r="A26" s="4">
        <v>5061</v>
      </c>
      <c r="B26" s="3">
        <v>38230</v>
      </c>
      <c r="C26" s="5">
        <v>21030</v>
      </c>
      <c r="D26" s="9" t="s">
        <v>68</v>
      </c>
      <c r="E26" s="4">
        <v>4510</v>
      </c>
      <c r="F26" s="12" t="str">
        <f>VLOOKUP($E$2:$E$115,Debitorer!$A$2:$H$18,8)</f>
        <v>Netto kontant</v>
      </c>
      <c r="G26" s="164">
        <f>IF(Fakturaer!F26=Debitorer!$H$9,Fakturaer!B26,IF(Fakturaer!F26=Debitorer!$H$16,EOMONTH(Fakturaer!B26,1),IF(Fakturaer!F26=Debitorer!$H$13,EOMONTH(Fakturaer!B26,2))))</f>
        <v>38230</v>
      </c>
    </row>
    <row r="27" spans="1:7" x14ac:dyDescent="0.2">
      <c r="A27" s="4">
        <v>5063</v>
      </c>
      <c r="B27" s="3">
        <v>38230</v>
      </c>
      <c r="C27" s="5">
        <v>33130</v>
      </c>
      <c r="D27" s="9" t="s">
        <v>68</v>
      </c>
      <c r="E27" s="4">
        <v>4530</v>
      </c>
      <c r="F27" s="12" t="str">
        <f>VLOOKUP($E$2:$E$115,Debitorer!$A$2:$H$18,8)</f>
        <v>Løbende måned + 30 dage</v>
      </c>
      <c r="G27" s="164">
        <f>IF(Fakturaer!F27=Debitorer!$H$9,Fakturaer!B27,IF(Fakturaer!F27=Debitorer!$H$16,EOMONTH(Fakturaer!B27,1),IF(Fakturaer!F27=Debitorer!$H$13,EOMONTH(Fakturaer!B27,2))))</f>
        <v>38260</v>
      </c>
    </row>
    <row r="28" spans="1:7" x14ac:dyDescent="0.2">
      <c r="A28" s="4">
        <v>5064</v>
      </c>
      <c r="B28" s="3">
        <v>38230</v>
      </c>
      <c r="C28" s="5">
        <v>19460</v>
      </c>
      <c r="D28" s="9" t="s">
        <v>68</v>
      </c>
      <c r="E28" s="4">
        <v>4515</v>
      </c>
      <c r="F28" s="12" t="str">
        <f>VLOOKUP($E$2:$E$115,Debitorer!$A$2:$H$18,8)</f>
        <v>Netto kontant</v>
      </c>
      <c r="G28" s="164">
        <f>IF(Fakturaer!F28=Debitorer!$H$9,Fakturaer!B28,IF(Fakturaer!F28=Debitorer!$H$16,EOMONTH(Fakturaer!B28,1),IF(Fakturaer!F28=Debitorer!$H$13,EOMONTH(Fakturaer!B28,2))))</f>
        <v>38230</v>
      </c>
    </row>
    <row r="29" spans="1:7" x14ac:dyDescent="0.2">
      <c r="A29" s="4">
        <v>5067</v>
      </c>
      <c r="B29" s="3">
        <v>38230</v>
      </c>
      <c r="C29" s="5">
        <v>33868</v>
      </c>
      <c r="D29" s="9" t="s">
        <v>73</v>
      </c>
      <c r="E29" s="4">
        <v>3105</v>
      </c>
      <c r="F29" s="12" t="str">
        <f>VLOOKUP($E$2:$E$115,Debitorer!$A$2:$H$18,8)</f>
        <v>Løbende måned + 60 dage</v>
      </c>
      <c r="G29" s="164">
        <f>IF(Fakturaer!F29=Debitorer!$H$9,Fakturaer!B29,IF(Fakturaer!F29=Debitorer!$H$16,EOMONTH(Fakturaer!B29,1),IF(Fakturaer!F29=Debitorer!$H$13,EOMONTH(Fakturaer!B29,2))))</f>
        <v>38291</v>
      </c>
    </row>
    <row r="30" spans="1:7" x14ac:dyDescent="0.2">
      <c r="A30" s="4">
        <v>5069</v>
      </c>
      <c r="B30" s="3">
        <v>38230</v>
      </c>
      <c r="C30" s="5">
        <v>20734</v>
      </c>
      <c r="D30" s="9" t="s">
        <v>73</v>
      </c>
      <c r="E30" s="4">
        <v>3105</v>
      </c>
      <c r="F30" s="12" t="str">
        <f>VLOOKUP($E$2:$E$115,Debitorer!$A$2:$H$18,8)</f>
        <v>Løbende måned + 60 dage</v>
      </c>
      <c r="G30" s="164">
        <f>IF(Fakturaer!F30=Debitorer!$H$9,Fakturaer!B30,IF(Fakturaer!F30=Debitorer!$H$16,EOMONTH(Fakturaer!B30,1),IF(Fakturaer!F30=Debitorer!$H$13,EOMONTH(Fakturaer!B30,2))))</f>
        <v>38291</v>
      </c>
    </row>
    <row r="31" spans="1:7" x14ac:dyDescent="0.2">
      <c r="A31" s="4">
        <v>5071</v>
      </c>
      <c r="B31" s="3">
        <v>38260</v>
      </c>
      <c r="C31" s="5">
        <v>64101</v>
      </c>
      <c r="D31" s="9" t="s">
        <v>68</v>
      </c>
      <c r="E31" s="4">
        <v>4505</v>
      </c>
      <c r="F31" s="12" t="str">
        <f>VLOOKUP($E$2:$E$115,Debitorer!$A$2:$H$18,8)</f>
        <v>Løbende måned + 30 dage</v>
      </c>
      <c r="G31" s="164">
        <f>IF(Fakturaer!F31=Debitorer!$H$9,Fakturaer!B31,IF(Fakturaer!F31=Debitorer!$H$16,EOMONTH(Fakturaer!B31,1),IF(Fakturaer!F31=Debitorer!$H$13,EOMONTH(Fakturaer!B31,2))))</f>
        <v>38291</v>
      </c>
    </row>
    <row r="32" spans="1:7" x14ac:dyDescent="0.2">
      <c r="A32" s="4">
        <v>5072</v>
      </c>
      <c r="B32" s="3">
        <v>38260</v>
      </c>
      <c r="C32" s="5">
        <v>69828</v>
      </c>
      <c r="D32" s="9" t="s">
        <v>68</v>
      </c>
      <c r="E32" s="4">
        <v>4530</v>
      </c>
      <c r="F32" s="12" t="str">
        <f>VLOOKUP($E$2:$E$115,Debitorer!$A$2:$H$18,8)</f>
        <v>Løbende måned + 30 dage</v>
      </c>
      <c r="G32" s="164">
        <f>IF(Fakturaer!F32=Debitorer!$H$9,Fakturaer!B32,IF(Fakturaer!F32=Debitorer!$H$16,EOMONTH(Fakturaer!B32,1),IF(Fakturaer!F32=Debitorer!$H$13,EOMONTH(Fakturaer!B32,2))))</f>
        <v>38291</v>
      </c>
    </row>
    <row r="33" spans="1:7" x14ac:dyDescent="0.2">
      <c r="A33" s="4">
        <v>5075</v>
      </c>
      <c r="B33" s="3">
        <v>38260</v>
      </c>
      <c r="C33" s="5">
        <v>33893</v>
      </c>
      <c r="D33" s="9" t="s">
        <v>68</v>
      </c>
      <c r="E33" s="4">
        <v>4505</v>
      </c>
      <c r="F33" s="12" t="str">
        <f>VLOOKUP($E$2:$E$115,Debitorer!$A$2:$H$18,8)</f>
        <v>Løbende måned + 30 dage</v>
      </c>
      <c r="G33" s="164">
        <f>IF(Fakturaer!F33=Debitorer!$H$9,Fakturaer!B33,IF(Fakturaer!F33=Debitorer!$H$16,EOMONTH(Fakturaer!B33,1),IF(Fakturaer!F33=Debitorer!$H$13,EOMONTH(Fakturaer!B33,2))))</f>
        <v>38291</v>
      </c>
    </row>
    <row r="34" spans="1:7" x14ac:dyDescent="0.2">
      <c r="A34" s="4">
        <v>5076</v>
      </c>
      <c r="B34" s="3">
        <v>38260</v>
      </c>
      <c r="C34" s="5">
        <v>16514</v>
      </c>
      <c r="D34" s="9" t="s">
        <v>68</v>
      </c>
      <c r="E34" s="4">
        <v>4515</v>
      </c>
      <c r="F34" s="12" t="str">
        <f>VLOOKUP($E$2:$E$115,Debitorer!$A$2:$H$18,8)</f>
        <v>Netto kontant</v>
      </c>
      <c r="G34" s="164">
        <f>IF(Fakturaer!F34=Debitorer!$H$9,Fakturaer!B34,IF(Fakturaer!F34=Debitorer!$H$16,EOMONTH(Fakturaer!B34,1),IF(Fakturaer!F34=Debitorer!$H$13,EOMONTH(Fakturaer!B34,2))))</f>
        <v>38260</v>
      </c>
    </row>
    <row r="35" spans="1:7" x14ac:dyDescent="0.2">
      <c r="A35" s="4">
        <v>5077</v>
      </c>
      <c r="B35" s="3">
        <v>38260</v>
      </c>
      <c r="C35" s="5">
        <v>61487</v>
      </c>
      <c r="D35" s="9" t="s">
        <v>68</v>
      </c>
      <c r="E35" s="4">
        <v>4510</v>
      </c>
      <c r="F35" s="12" t="str">
        <f>VLOOKUP($E$2:$E$115,Debitorer!$A$2:$H$18,8)</f>
        <v>Netto kontant</v>
      </c>
      <c r="G35" s="164">
        <f>IF(Fakturaer!F35=Debitorer!$H$9,Fakturaer!B35,IF(Fakturaer!F35=Debitorer!$H$16,EOMONTH(Fakturaer!B35,1),IF(Fakturaer!F35=Debitorer!$H$13,EOMONTH(Fakturaer!B35,2))))</f>
        <v>38260</v>
      </c>
    </row>
    <row r="36" spans="1:7" x14ac:dyDescent="0.2">
      <c r="A36" s="4">
        <v>5073</v>
      </c>
      <c r="B36" s="3">
        <v>38260</v>
      </c>
      <c r="C36" s="5">
        <v>18732</v>
      </c>
      <c r="D36" s="9" t="s">
        <v>73</v>
      </c>
      <c r="E36" s="4">
        <v>4410</v>
      </c>
      <c r="F36" s="12" t="str">
        <f>VLOOKUP($E$2:$E$115,Debitorer!$A$2:$H$18,8)</f>
        <v>Løbende måned + 60 dage</v>
      </c>
      <c r="G36" s="164">
        <f>IF(Fakturaer!F36=Debitorer!$H$9,Fakturaer!B36,IF(Fakturaer!F36=Debitorer!$H$16,EOMONTH(Fakturaer!B36,1),IF(Fakturaer!F36=Debitorer!$H$13,EOMONTH(Fakturaer!B36,2))))</f>
        <v>38321</v>
      </c>
    </row>
    <row r="37" spans="1:7" x14ac:dyDescent="0.2">
      <c r="A37" s="4">
        <v>5082</v>
      </c>
      <c r="B37" s="3">
        <v>38260</v>
      </c>
      <c r="C37" s="5">
        <v>20397</v>
      </c>
      <c r="D37" s="9" t="s">
        <v>73</v>
      </c>
      <c r="E37" s="4">
        <v>3105</v>
      </c>
      <c r="F37" s="12" t="str">
        <f>VLOOKUP($E$2:$E$115,Debitorer!$A$2:$H$18,8)</f>
        <v>Løbende måned + 60 dage</v>
      </c>
      <c r="G37" s="164">
        <f>IF(Fakturaer!F37=Debitorer!$H$9,Fakturaer!B37,IF(Fakturaer!F37=Debitorer!$H$16,EOMONTH(Fakturaer!B37,1),IF(Fakturaer!F37=Debitorer!$H$13,EOMONTH(Fakturaer!B37,2))))</f>
        <v>38321</v>
      </c>
    </row>
    <row r="38" spans="1:7" x14ac:dyDescent="0.2">
      <c r="A38" s="4">
        <v>5085</v>
      </c>
      <c r="B38" s="3">
        <v>38290</v>
      </c>
      <c r="C38" s="5">
        <v>39216</v>
      </c>
      <c r="D38" s="9" t="s">
        <v>68</v>
      </c>
      <c r="E38" s="4">
        <v>4530</v>
      </c>
      <c r="F38" s="12" t="str">
        <f>VLOOKUP($E$2:$E$115,Debitorer!$A$2:$H$18,8)</f>
        <v>Løbende måned + 30 dage</v>
      </c>
      <c r="G38" s="164">
        <f>IF(Fakturaer!F38=Debitorer!$H$9,Fakturaer!B38,IF(Fakturaer!F38=Debitorer!$H$16,EOMONTH(Fakturaer!B38,1),IF(Fakturaer!F38=Debitorer!$H$13,EOMONTH(Fakturaer!B38,2))))</f>
        <v>38321</v>
      </c>
    </row>
    <row r="39" spans="1:7" x14ac:dyDescent="0.2">
      <c r="A39" s="4">
        <v>5088</v>
      </c>
      <c r="B39" s="3">
        <v>38290</v>
      </c>
      <c r="C39" s="5">
        <v>7608</v>
      </c>
      <c r="D39" s="9" t="s">
        <v>68</v>
      </c>
      <c r="E39" s="4">
        <v>4530</v>
      </c>
      <c r="F39" s="12" t="str">
        <f>VLOOKUP($E$2:$E$115,Debitorer!$A$2:$H$18,8)</f>
        <v>Løbende måned + 30 dage</v>
      </c>
      <c r="G39" s="164">
        <f>IF(Fakturaer!F39=Debitorer!$H$9,Fakturaer!B39,IF(Fakturaer!F39=Debitorer!$H$16,EOMONTH(Fakturaer!B39,1),IF(Fakturaer!F39=Debitorer!$H$13,EOMONTH(Fakturaer!B39,2))))</f>
        <v>38321</v>
      </c>
    </row>
    <row r="40" spans="1:7" x14ac:dyDescent="0.2">
      <c r="A40" s="4">
        <v>5089</v>
      </c>
      <c r="B40" s="3">
        <v>38290</v>
      </c>
      <c r="C40" s="5">
        <v>48111</v>
      </c>
      <c r="D40" s="9" t="s">
        <v>68</v>
      </c>
      <c r="E40" s="4">
        <v>4510</v>
      </c>
      <c r="F40" s="12" t="str">
        <f>VLOOKUP($E$2:$E$115,Debitorer!$A$2:$H$18,8)</f>
        <v>Netto kontant</v>
      </c>
      <c r="G40" s="164">
        <f>IF(Fakturaer!F40=Debitorer!$H$9,Fakturaer!B40,IF(Fakturaer!F40=Debitorer!$H$16,EOMONTH(Fakturaer!B40,1),IF(Fakturaer!F40=Debitorer!$H$13,EOMONTH(Fakturaer!B40,2))))</f>
        <v>38290</v>
      </c>
    </row>
    <row r="41" spans="1:7" x14ac:dyDescent="0.2">
      <c r="A41" s="4">
        <v>5090</v>
      </c>
      <c r="B41" s="3">
        <v>38290</v>
      </c>
      <c r="C41" s="5">
        <v>26512</v>
      </c>
      <c r="D41" s="9" t="s">
        <v>68</v>
      </c>
      <c r="E41" s="4">
        <v>4515</v>
      </c>
      <c r="F41" s="12" t="str">
        <f>VLOOKUP($E$2:$E$115,Debitorer!$A$2:$H$18,8)</f>
        <v>Netto kontant</v>
      </c>
      <c r="G41" s="164">
        <f>IF(Fakturaer!F41=Debitorer!$H$9,Fakturaer!B41,IF(Fakturaer!F41=Debitorer!$H$16,EOMONTH(Fakturaer!B41,1),IF(Fakturaer!F41=Debitorer!$H$13,EOMONTH(Fakturaer!B41,2))))</f>
        <v>38290</v>
      </c>
    </row>
    <row r="42" spans="1:7" x14ac:dyDescent="0.2">
      <c r="A42" s="4">
        <v>5095</v>
      </c>
      <c r="B42" s="3">
        <v>38321</v>
      </c>
      <c r="C42" s="5">
        <v>56372</v>
      </c>
      <c r="D42" s="9" t="s">
        <v>68</v>
      </c>
      <c r="E42" s="4">
        <v>4505</v>
      </c>
      <c r="F42" s="12" t="str">
        <f>VLOOKUP($E$2:$E$115,Debitorer!$A$2:$H$18,8)</f>
        <v>Løbende måned + 30 dage</v>
      </c>
      <c r="G42" s="164">
        <f>IF(Fakturaer!F42=Debitorer!$H$9,Fakturaer!B42,IF(Fakturaer!F42=Debitorer!$H$16,EOMONTH(Fakturaer!B42,1),IF(Fakturaer!F42=Debitorer!$H$13,EOMONTH(Fakturaer!B42,2))))</f>
        <v>38352</v>
      </c>
    </row>
    <row r="43" spans="1:7" x14ac:dyDescent="0.2">
      <c r="A43" s="4">
        <v>5098</v>
      </c>
      <c r="B43" s="3">
        <v>38321</v>
      </c>
      <c r="C43" s="5">
        <v>92171</v>
      </c>
      <c r="D43" s="9" t="s">
        <v>68</v>
      </c>
      <c r="E43" s="4">
        <v>4530</v>
      </c>
      <c r="F43" s="12" t="str">
        <f>VLOOKUP($E$2:$E$115,Debitorer!$A$2:$H$18,8)</f>
        <v>Løbende måned + 30 dage</v>
      </c>
      <c r="G43" s="164">
        <f>IF(Fakturaer!F43=Debitorer!$H$9,Fakturaer!B43,IF(Fakturaer!F43=Debitorer!$H$16,EOMONTH(Fakturaer!B43,1),IF(Fakturaer!F43=Debitorer!$H$13,EOMONTH(Fakturaer!B43,2))))</f>
        <v>38352</v>
      </c>
    </row>
    <row r="44" spans="1:7" x14ac:dyDescent="0.2">
      <c r="A44" s="4">
        <v>5099</v>
      </c>
      <c r="B44" s="3">
        <v>38321</v>
      </c>
      <c r="C44" s="5">
        <v>53185</v>
      </c>
      <c r="D44" s="9" t="s">
        <v>73</v>
      </c>
      <c r="E44" s="4">
        <v>3305</v>
      </c>
      <c r="F44" s="12" t="str">
        <f>VLOOKUP($E$2:$E$115,Debitorer!$A$2:$H$18,8)</f>
        <v>Løbende måned + 60 dage</v>
      </c>
      <c r="G44" s="164">
        <f>IF(Fakturaer!F44=Debitorer!$H$9,Fakturaer!B44,IF(Fakturaer!F44=Debitorer!$H$16,EOMONTH(Fakturaer!B44,1),IF(Fakturaer!F44=Debitorer!$H$13,EOMONTH(Fakturaer!B44,2))))</f>
        <v>38383</v>
      </c>
    </row>
    <row r="45" spans="1:7" x14ac:dyDescent="0.2">
      <c r="A45" s="4">
        <v>5101</v>
      </c>
      <c r="B45" s="3">
        <v>38321</v>
      </c>
      <c r="C45" s="5">
        <v>12782</v>
      </c>
      <c r="D45" s="9" t="s">
        <v>73</v>
      </c>
      <c r="E45" s="4">
        <v>3105</v>
      </c>
      <c r="F45" s="12" t="str">
        <f>VLOOKUP($E$2:$E$115,Debitorer!$A$2:$H$18,8)</f>
        <v>Løbende måned + 60 dage</v>
      </c>
      <c r="G45" s="164">
        <f>IF(Fakturaer!F45=Debitorer!$H$9,Fakturaer!B45,IF(Fakturaer!F45=Debitorer!$H$16,EOMONTH(Fakturaer!B45,1),IF(Fakturaer!F45=Debitorer!$H$13,EOMONTH(Fakturaer!B45,2))))</f>
        <v>38383</v>
      </c>
    </row>
    <row r="46" spans="1:7" x14ac:dyDescent="0.2">
      <c r="A46" s="4">
        <v>5103</v>
      </c>
      <c r="B46" s="3">
        <v>38352</v>
      </c>
      <c r="C46" s="5">
        <v>13380</v>
      </c>
      <c r="D46" s="9" t="s">
        <v>68</v>
      </c>
      <c r="E46" s="4">
        <v>4530</v>
      </c>
      <c r="F46" s="12" t="str">
        <f>VLOOKUP($E$2:$E$115,Debitorer!$A$2:$H$18,8)</f>
        <v>Løbende måned + 30 dage</v>
      </c>
      <c r="G46" s="164">
        <f>IF(Fakturaer!F46=Debitorer!$H$9,Fakturaer!B46,IF(Fakturaer!F46=Debitorer!$H$16,EOMONTH(Fakturaer!B46,1),IF(Fakturaer!F46=Debitorer!$H$13,EOMONTH(Fakturaer!B46,2))))</f>
        <v>38383</v>
      </c>
    </row>
    <row r="47" spans="1:7" x14ac:dyDescent="0.2">
      <c r="A47" s="4">
        <v>5109</v>
      </c>
      <c r="B47" s="3">
        <v>38352</v>
      </c>
      <c r="C47" s="5">
        <v>20366</v>
      </c>
      <c r="D47" s="9" t="s">
        <v>68</v>
      </c>
      <c r="E47" s="4">
        <v>4505</v>
      </c>
      <c r="F47" s="12" t="str">
        <f>VLOOKUP($E$2:$E$115,Debitorer!$A$2:$H$18,8)</f>
        <v>Løbende måned + 30 dage</v>
      </c>
      <c r="G47" s="164">
        <f>IF(Fakturaer!F47=Debitorer!$H$9,Fakturaer!B47,IF(Fakturaer!F47=Debitorer!$H$16,EOMONTH(Fakturaer!B47,1),IF(Fakturaer!F47=Debitorer!$H$13,EOMONTH(Fakturaer!B47,2))))</f>
        <v>38383</v>
      </c>
    </row>
    <row r="48" spans="1:7" x14ac:dyDescent="0.2">
      <c r="A48" s="4">
        <v>5110</v>
      </c>
      <c r="B48" s="3">
        <v>38352</v>
      </c>
      <c r="C48" s="5">
        <v>29699</v>
      </c>
      <c r="D48" s="9" t="s">
        <v>68</v>
      </c>
      <c r="E48" s="4">
        <v>4510</v>
      </c>
      <c r="F48" s="12" t="str">
        <f>VLOOKUP($E$2:$E$115,Debitorer!$A$2:$H$18,8)</f>
        <v>Netto kontant</v>
      </c>
      <c r="G48" s="164">
        <f>IF(Fakturaer!F48=Debitorer!$H$9,Fakturaer!B48,IF(Fakturaer!F48=Debitorer!$H$16,EOMONTH(Fakturaer!B48,1),IF(Fakturaer!F48=Debitorer!$H$13,EOMONTH(Fakturaer!B48,2))))</f>
        <v>38352</v>
      </c>
    </row>
    <row r="49" spans="1:7" x14ac:dyDescent="0.2">
      <c r="A49" s="4">
        <v>5105</v>
      </c>
      <c r="B49" s="3">
        <v>38352</v>
      </c>
      <c r="C49" s="5">
        <v>21724</v>
      </c>
      <c r="D49" s="9" t="s">
        <v>73</v>
      </c>
      <c r="E49" s="4">
        <v>3305</v>
      </c>
      <c r="F49" s="12" t="str">
        <f>VLOOKUP($E$2:$E$115,Debitorer!$A$2:$H$18,8)</f>
        <v>Løbende måned + 60 dage</v>
      </c>
      <c r="G49" s="164">
        <f>IF(Fakturaer!F49=Debitorer!$H$9,Fakturaer!B49,IF(Fakturaer!F49=Debitorer!$H$16,EOMONTH(Fakturaer!B49,1),IF(Fakturaer!F49=Debitorer!$H$13,EOMONTH(Fakturaer!B49,2))))</f>
        <v>38411</v>
      </c>
    </row>
    <row r="50" spans="1:7" x14ac:dyDescent="0.2">
      <c r="A50" s="4">
        <v>5114</v>
      </c>
      <c r="B50" s="3">
        <v>38383</v>
      </c>
      <c r="C50" s="5">
        <v>49750</v>
      </c>
      <c r="D50" s="9" t="s">
        <v>68</v>
      </c>
      <c r="E50" s="4">
        <v>4510</v>
      </c>
      <c r="F50" s="12" t="str">
        <f>VLOOKUP($E$2:$E$115,Debitorer!$A$2:$H$18,8)</f>
        <v>Netto kontant</v>
      </c>
      <c r="G50" s="164">
        <f>IF(Fakturaer!F50=Debitorer!$H$9,Fakturaer!B50,IF(Fakturaer!F50=Debitorer!$H$16,EOMONTH(Fakturaer!B50,1),IF(Fakturaer!F50=Debitorer!$H$13,EOMONTH(Fakturaer!B50,2))))</f>
        <v>38383</v>
      </c>
    </row>
    <row r="51" spans="1:7" x14ac:dyDescent="0.2">
      <c r="A51" s="4">
        <v>5115</v>
      </c>
      <c r="B51" s="3">
        <v>38383</v>
      </c>
      <c r="C51" s="5">
        <v>42230</v>
      </c>
      <c r="D51" s="9" t="s">
        <v>68</v>
      </c>
      <c r="E51" s="4">
        <v>4510</v>
      </c>
      <c r="F51" s="12" t="str">
        <f>VLOOKUP($E$2:$E$115,Debitorer!$A$2:$H$18,8)</f>
        <v>Netto kontant</v>
      </c>
      <c r="G51" s="164">
        <f>IF(Fakturaer!F51=Debitorer!$H$9,Fakturaer!B51,IF(Fakturaer!F51=Debitorer!$H$16,EOMONTH(Fakturaer!B51,1),IF(Fakturaer!F51=Debitorer!$H$13,EOMONTH(Fakturaer!B51,2))))</f>
        <v>38383</v>
      </c>
    </row>
    <row r="52" spans="1:7" x14ac:dyDescent="0.2">
      <c r="A52" s="4">
        <v>5120</v>
      </c>
      <c r="B52" s="3">
        <v>38383</v>
      </c>
      <c r="C52" s="5">
        <v>68196</v>
      </c>
      <c r="D52" s="9" t="s">
        <v>68</v>
      </c>
      <c r="E52" s="4">
        <v>4520</v>
      </c>
      <c r="F52" s="12" t="str">
        <f>VLOOKUP($E$2:$E$115,Debitorer!$A$2:$H$18,8)</f>
        <v>Løbende måned + 30 dage</v>
      </c>
      <c r="G52" s="164">
        <f>IF(Fakturaer!F52=Debitorer!$H$9,Fakturaer!B52,IF(Fakturaer!F52=Debitorer!$H$16,EOMONTH(Fakturaer!B52,1),IF(Fakturaer!F52=Debitorer!$H$13,EOMONTH(Fakturaer!B52,2))))</f>
        <v>38411</v>
      </c>
    </row>
    <row r="53" spans="1:7" x14ac:dyDescent="0.2">
      <c r="A53" s="4">
        <v>5121</v>
      </c>
      <c r="B53" s="3">
        <v>38383</v>
      </c>
      <c r="C53" s="5">
        <v>12852</v>
      </c>
      <c r="D53" s="9" t="s">
        <v>68</v>
      </c>
      <c r="E53" s="4">
        <v>4505</v>
      </c>
      <c r="F53" s="12" t="str">
        <f>VLOOKUP($E$2:$E$115,Debitorer!$A$2:$H$18,8)</f>
        <v>Løbende måned + 30 dage</v>
      </c>
      <c r="G53" s="164">
        <f>IF(Fakturaer!F53=Debitorer!$H$9,Fakturaer!B53,IF(Fakturaer!F53=Debitorer!$H$16,EOMONTH(Fakturaer!B53,1),IF(Fakturaer!F53=Debitorer!$H$13,EOMONTH(Fakturaer!B53,2))))</f>
        <v>38411</v>
      </c>
    </row>
    <row r="54" spans="1:7" x14ac:dyDescent="0.2">
      <c r="A54" s="4">
        <v>5122</v>
      </c>
      <c r="B54" s="3">
        <v>38383</v>
      </c>
      <c r="C54" s="5">
        <v>5655</v>
      </c>
      <c r="D54" s="9" t="s">
        <v>68</v>
      </c>
      <c r="E54" s="4">
        <v>4530</v>
      </c>
      <c r="F54" s="12" t="str">
        <f>VLOOKUP($E$2:$E$115,Debitorer!$A$2:$H$18,8)</f>
        <v>Løbende måned + 30 dage</v>
      </c>
      <c r="G54" s="164">
        <f>IF(Fakturaer!F54=Debitorer!$H$9,Fakturaer!B54,IF(Fakturaer!F54=Debitorer!$H$16,EOMONTH(Fakturaer!B54,1),IF(Fakturaer!F54=Debitorer!$H$13,EOMONTH(Fakturaer!B54,2))))</f>
        <v>38411</v>
      </c>
    </row>
    <row r="55" spans="1:7" x14ac:dyDescent="0.2">
      <c r="A55" s="4">
        <v>5123</v>
      </c>
      <c r="B55" s="3">
        <v>38383</v>
      </c>
      <c r="C55" s="5">
        <v>43992</v>
      </c>
      <c r="D55" s="9" t="s">
        <v>68</v>
      </c>
      <c r="E55" s="4">
        <v>4520</v>
      </c>
      <c r="F55" s="12" t="str">
        <f>VLOOKUP($E$2:$E$115,Debitorer!$A$2:$H$18,8)</f>
        <v>Løbende måned + 30 dage</v>
      </c>
      <c r="G55" s="164">
        <f>IF(Fakturaer!F55=Debitorer!$H$9,Fakturaer!B55,IF(Fakturaer!F55=Debitorer!$H$16,EOMONTH(Fakturaer!B55,1),IF(Fakturaer!F55=Debitorer!$H$13,EOMONTH(Fakturaer!B55,2))))</f>
        <v>38411</v>
      </c>
    </row>
    <row r="56" spans="1:7" x14ac:dyDescent="0.2">
      <c r="A56" s="4">
        <v>5118</v>
      </c>
      <c r="B56" s="3">
        <v>38383</v>
      </c>
      <c r="C56" s="5">
        <v>51588</v>
      </c>
      <c r="D56" s="9" t="s">
        <v>73</v>
      </c>
      <c r="E56" s="4">
        <v>3305</v>
      </c>
      <c r="F56" s="12" t="str">
        <f>VLOOKUP($E$2:$E$115,Debitorer!$A$2:$H$18,8)</f>
        <v>Løbende måned + 60 dage</v>
      </c>
      <c r="G56" s="164">
        <f>IF(Fakturaer!F56=Debitorer!$H$9,Fakturaer!B56,IF(Fakturaer!F56=Debitorer!$H$16,EOMONTH(Fakturaer!B56,1),IF(Fakturaer!F56=Debitorer!$H$13,EOMONTH(Fakturaer!B56,2))))</f>
        <v>38442</v>
      </c>
    </row>
    <row r="57" spans="1:7" x14ac:dyDescent="0.2">
      <c r="A57" s="4">
        <v>5124</v>
      </c>
      <c r="B57" s="3">
        <v>38383</v>
      </c>
      <c r="C57" s="5">
        <v>34965</v>
      </c>
      <c r="D57" s="9" t="s">
        <v>73</v>
      </c>
      <c r="E57" s="4">
        <v>3105</v>
      </c>
      <c r="F57" s="12" t="str">
        <f>VLOOKUP($E$2:$E$115,Debitorer!$A$2:$H$18,8)</f>
        <v>Løbende måned + 60 dage</v>
      </c>
      <c r="G57" s="164">
        <f>IF(Fakturaer!F57=Debitorer!$H$9,Fakturaer!B57,IF(Fakturaer!F57=Debitorer!$H$16,EOMONTH(Fakturaer!B57,1),IF(Fakturaer!F57=Debitorer!$H$13,EOMONTH(Fakturaer!B57,2))))</f>
        <v>38442</v>
      </c>
    </row>
    <row r="58" spans="1:7" x14ac:dyDescent="0.2">
      <c r="A58" s="4">
        <v>5126</v>
      </c>
      <c r="B58" s="3">
        <v>38410</v>
      </c>
      <c r="C58" s="5">
        <v>14640</v>
      </c>
      <c r="D58" s="9" t="s">
        <v>68</v>
      </c>
      <c r="E58" s="4">
        <v>4530</v>
      </c>
      <c r="F58" s="12" t="str">
        <f>VLOOKUP($E$2:$E$115,Debitorer!$A$2:$H$18,8)</f>
        <v>Løbende måned + 30 dage</v>
      </c>
      <c r="G58" s="164">
        <f>IF(Fakturaer!F58=Debitorer!$H$9,Fakturaer!B58,IF(Fakturaer!F58=Debitorer!$H$16,EOMONTH(Fakturaer!B58,1),IF(Fakturaer!F58=Debitorer!$H$13,EOMONTH(Fakturaer!B58,2))))</f>
        <v>38442</v>
      </c>
    </row>
    <row r="59" spans="1:7" x14ac:dyDescent="0.2">
      <c r="A59" s="4">
        <v>5130</v>
      </c>
      <c r="B59" s="3">
        <v>38410</v>
      </c>
      <c r="C59" s="5">
        <v>43932</v>
      </c>
      <c r="D59" s="9" t="s">
        <v>68</v>
      </c>
      <c r="E59" s="4">
        <v>4515</v>
      </c>
      <c r="F59" s="12" t="str">
        <f>VLOOKUP($E$2:$E$115,Debitorer!$A$2:$H$18,8)</f>
        <v>Netto kontant</v>
      </c>
      <c r="G59" s="164">
        <f>IF(Fakturaer!F59=Debitorer!$H$9,Fakturaer!B59,IF(Fakturaer!F59=Debitorer!$H$16,EOMONTH(Fakturaer!B59,1),IF(Fakturaer!F59=Debitorer!$H$13,EOMONTH(Fakturaer!B59,2))))</f>
        <v>38410</v>
      </c>
    </row>
    <row r="60" spans="1:7" x14ac:dyDescent="0.2">
      <c r="A60" s="4">
        <v>5131</v>
      </c>
      <c r="B60" s="3">
        <v>38410</v>
      </c>
      <c r="C60" s="5">
        <v>32105</v>
      </c>
      <c r="D60" s="9" t="s">
        <v>68</v>
      </c>
      <c r="E60" s="4">
        <v>4530</v>
      </c>
      <c r="F60" s="12" t="str">
        <f>VLOOKUP($E$2:$E$115,Debitorer!$A$2:$H$18,8)</f>
        <v>Løbende måned + 30 dage</v>
      </c>
      <c r="G60" s="164">
        <f>IF(Fakturaer!F60=Debitorer!$H$9,Fakturaer!B60,IF(Fakturaer!F60=Debitorer!$H$16,EOMONTH(Fakturaer!B60,1),IF(Fakturaer!F60=Debitorer!$H$13,EOMONTH(Fakturaer!B60,2))))</f>
        <v>38442</v>
      </c>
    </row>
    <row r="61" spans="1:7" x14ac:dyDescent="0.2">
      <c r="A61" s="4">
        <v>5132</v>
      </c>
      <c r="B61" s="3">
        <v>38410</v>
      </c>
      <c r="C61" s="5">
        <v>4770</v>
      </c>
      <c r="D61" s="9" t="s">
        <v>68</v>
      </c>
      <c r="E61" s="4">
        <v>4510</v>
      </c>
      <c r="F61" s="12" t="str">
        <f>VLOOKUP($E$2:$E$115,Debitorer!$A$2:$H$18,8)</f>
        <v>Netto kontant</v>
      </c>
      <c r="G61" s="164">
        <f>IF(Fakturaer!F61=Debitorer!$H$9,Fakturaer!B61,IF(Fakturaer!F61=Debitorer!$H$16,EOMONTH(Fakturaer!B61,1),IF(Fakturaer!F61=Debitorer!$H$13,EOMONTH(Fakturaer!B61,2))))</f>
        <v>38410</v>
      </c>
    </row>
    <row r="62" spans="1:7" x14ac:dyDescent="0.2">
      <c r="A62" s="4">
        <v>5134</v>
      </c>
      <c r="B62" s="3">
        <v>38410</v>
      </c>
      <c r="C62" s="5">
        <v>600</v>
      </c>
      <c r="D62" s="9" t="s">
        <v>73</v>
      </c>
      <c r="E62" s="4">
        <v>3305</v>
      </c>
      <c r="F62" s="12" t="str">
        <f>VLOOKUP($E$2:$E$115,Debitorer!$A$2:$H$18,8)</f>
        <v>Løbende måned + 60 dage</v>
      </c>
      <c r="G62" s="164">
        <f>IF(Fakturaer!F62=Debitorer!$H$9,Fakturaer!B62,IF(Fakturaer!F62=Debitorer!$H$16,EOMONTH(Fakturaer!B62,1),IF(Fakturaer!F62=Debitorer!$H$13,EOMONTH(Fakturaer!B62,2))))</f>
        <v>38472</v>
      </c>
    </row>
    <row r="63" spans="1:7" x14ac:dyDescent="0.2">
      <c r="A63" s="4">
        <v>5137</v>
      </c>
      <c r="B63" s="3">
        <v>38442</v>
      </c>
      <c r="C63" s="5">
        <v>69132</v>
      </c>
      <c r="D63" s="9" t="s">
        <v>68</v>
      </c>
      <c r="E63" s="4">
        <v>4510</v>
      </c>
      <c r="F63" s="12" t="str">
        <f>VLOOKUP($E$2:$E$115,Debitorer!$A$2:$H$18,8)</f>
        <v>Netto kontant</v>
      </c>
      <c r="G63" s="164">
        <f>IF(Fakturaer!F63=Debitorer!$H$9,Fakturaer!B63,IF(Fakturaer!F63=Debitorer!$H$16,EOMONTH(Fakturaer!B63,1),IF(Fakturaer!F63=Debitorer!$H$13,EOMONTH(Fakturaer!B63,2))))</f>
        <v>38442</v>
      </c>
    </row>
    <row r="64" spans="1:7" x14ac:dyDescent="0.2">
      <c r="A64" s="4">
        <v>5138</v>
      </c>
      <c r="B64" s="3">
        <v>38442</v>
      </c>
      <c r="C64" s="5">
        <v>32618</v>
      </c>
      <c r="D64" s="9" t="s">
        <v>68</v>
      </c>
      <c r="E64" s="4">
        <v>4530</v>
      </c>
      <c r="F64" s="12" t="str">
        <f>VLOOKUP($E$2:$E$115,Debitorer!$A$2:$H$18,8)</f>
        <v>Løbende måned + 30 dage</v>
      </c>
      <c r="G64" s="164">
        <f>IF(Fakturaer!F64=Debitorer!$H$9,Fakturaer!B64,IF(Fakturaer!F64=Debitorer!$H$16,EOMONTH(Fakturaer!B64,1),IF(Fakturaer!F64=Debitorer!$H$13,EOMONTH(Fakturaer!B64,2))))</f>
        <v>38472</v>
      </c>
    </row>
    <row r="65" spans="1:7" x14ac:dyDescent="0.2">
      <c r="A65" s="4">
        <v>5143</v>
      </c>
      <c r="B65" s="3">
        <v>38442</v>
      </c>
      <c r="C65" s="5">
        <v>58013.279999999999</v>
      </c>
      <c r="D65" s="9" t="s">
        <v>68</v>
      </c>
      <c r="E65" s="4">
        <v>4520</v>
      </c>
      <c r="F65" s="12" t="str">
        <f>VLOOKUP($E$2:$E$115,Debitorer!$A$2:$H$18,8)</f>
        <v>Løbende måned + 30 dage</v>
      </c>
      <c r="G65" s="164">
        <f>IF(Fakturaer!F65=Debitorer!$H$9,Fakturaer!B65,IF(Fakturaer!F65=Debitorer!$H$16,EOMONTH(Fakturaer!B65,1),IF(Fakturaer!F65=Debitorer!$H$13,EOMONTH(Fakturaer!B65,2))))</f>
        <v>38472</v>
      </c>
    </row>
    <row r="66" spans="1:7" x14ac:dyDescent="0.2">
      <c r="A66" s="4">
        <v>5148</v>
      </c>
      <c r="B66" s="3">
        <v>38442</v>
      </c>
      <c r="C66" s="5">
        <v>47884.2</v>
      </c>
      <c r="D66" s="9" t="s">
        <v>68</v>
      </c>
      <c r="E66" s="4">
        <v>4515</v>
      </c>
      <c r="F66" s="12" t="str">
        <f>VLOOKUP($E$2:$E$115,Debitorer!$A$2:$H$18,8)</f>
        <v>Netto kontant</v>
      </c>
      <c r="G66" s="164">
        <f>IF(Fakturaer!F66=Debitorer!$H$9,Fakturaer!B66,IF(Fakturaer!F66=Debitorer!$H$16,EOMONTH(Fakturaer!B66,1),IF(Fakturaer!F66=Debitorer!$H$13,EOMONTH(Fakturaer!B66,2))))</f>
        <v>38442</v>
      </c>
    </row>
    <row r="67" spans="1:7" x14ac:dyDescent="0.2">
      <c r="A67" s="4">
        <v>5149</v>
      </c>
      <c r="B67" s="3">
        <v>38442</v>
      </c>
      <c r="C67" s="5">
        <v>132309.96</v>
      </c>
      <c r="D67" s="9" t="s">
        <v>68</v>
      </c>
      <c r="E67" s="4">
        <v>4515</v>
      </c>
      <c r="F67" s="12" t="str">
        <f>VLOOKUP($E$2:$E$115,Debitorer!$A$2:$H$18,8)</f>
        <v>Netto kontant</v>
      </c>
      <c r="G67" s="164">
        <f>IF(Fakturaer!F67=Debitorer!$H$9,Fakturaer!B67,IF(Fakturaer!F67=Debitorer!$H$16,EOMONTH(Fakturaer!B67,1),IF(Fakturaer!F67=Debitorer!$H$13,EOMONTH(Fakturaer!B67,2))))</f>
        <v>38442</v>
      </c>
    </row>
    <row r="68" spans="1:7" x14ac:dyDescent="0.2">
      <c r="A68" s="4">
        <v>5141</v>
      </c>
      <c r="B68" s="3">
        <v>38442</v>
      </c>
      <c r="C68" s="5">
        <v>52284</v>
      </c>
      <c r="D68" s="9" t="s">
        <v>73</v>
      </c>
      <c r="E68" s="4">
        <v>3305</v>
      </c>
      <c r="F68" s="12" t="str">
        <f>VLOOKUP($E$2:$E$115,Debitorer!$A$2:$H$18,8)</f>
        <v>Løbende måned + 60 dage</v>
      </c>
      <c r="G68" s="164">
        <f>IF(Fakturaer!F68=Debitorer!$H$9,Fakturaer!B68,IF(Fakturaer!F68=Debitorer!$H$16,EOMONTH(Fakturaer!B68,1),IF(Fakturaer!F68=Debitorer!$H$13,EOMONTH(Fakturaer!B68,2))))</f>
        <v>38503</v>
      </c>
    </row>
    <row r="69" spans="1:7" x14ac:dyDescent="0.2">
      <c r="A69" s="4">
        <v>5144</v>
      </c>
      <c r="B69" s="3">
        <v>38442</v>
      </c>
      <c r="C69" s="5">
        <v>10186.31</v>
      </c>
      <c r="D69" s="9" t="s">
        <v>73</v>
      </c>
      <c r="E69" s="4">
        <v>3105</v>
      </c>
      <c r="F69" s="12" t="str">
        <f>VLOOKUP($E$2:$E$115,Debitorer!$A$2:$H$18,8)</f>
        <v>Løbende måned + 60 dage</v>
      </c>
      <c r="G69" s="164">
        <f>IF(Fakturaer!F69=Debitorer!$H$9,Fakturaer!B69,IF(Fakturaer!F69=Debitorer!$H$16,EOMONTH(Fakturaer!B69,1),IF(Fakturaer!F69=Debitorer!$H$13,EOMONTH(Fakturaer!B69,2))))</f>
        <v>38503</v>
      </c>
    </row>
    <row r="70" spans="1:7" x14ac:dyDescent="0.2">
      <c r="A70" s="4">
        <v>5157</v>
      </c>
      <c r="B70" s="3">
        <v>38471</v>
      </c>
      <c r="C70" s="5">
        <v>77386.5</v>
      </c>
      <c r="D70" s="9" t="s">
        <v>68</v>
      </c>
      <c r="E70" s="4">
        <v>4530</v>
      </c>
      <c r="F70" s="12" t="str">
        <f>VLOOKUP($E$2:$E$115,Debitorer!$A$2:$H$18,8)</f>
        <v>Løbende måned + 30 dage</v>
      </c>
      <c r="G70" s="164">
        <f>IF(Fakturaer!F70=Debitorer!$H$9,Fakturaer!B70,IF(Fakturaer!F70=Debitorer!$H$16,EOMONTH(Fakturaer!B70,1),IF(Fakturaer!F70=Debitorer!$H$13,EOMONTH(Fakturaer!B70,2))))</f>
        <v>38503</v>
      </c>
    </row>
    <row r="71" spans="1:7" x14ac:dyDescent="0.2">
      <c r="A71" s="4">
        <v>5158</v>
      </c>
      <c r="B71" s="3">
        <v>38471</v>
      </c>
      <c r="C71" s="5">
        <v>7786.65</v>
      </c>
      <c r="D71" s="9" t="s">
        <v>68</v>
      </c>
      <c r="E71" s="4">
        <v>4530</v>
      </c>
      <c r="F71" s="12" t="str">
        <f>VLOOKUP($E$2:$E$115,Debitorer!$A$2:$H$18,8)</f>
        <v>Løbende måned + 30 dage</v>
      </c>
      <c r="G71" s="164">
        <f>IF(Fakturaer!F71=Debitorer!$H$9,Fakturaer!B71,IF(Fakturaer!F71=Debitorer!$H$16,EOMONTH(Fakturaer!B71,1),IF(Fakturaer!F71=Debitorer!$H$13,EOMONTH(Fakturaer!B71,2))))</f>
        <v>38503</v>
      </c>
    </row>
    <row r="72" spans="1:7" x14ac:dyDescent="0.2">
      <c r="A72" s="4">
        <v>5159</v>
      </c>
      <c r="B72" s="3">
        <v>38471</v>
      </c>
      <c r="C72" s="5">
        <v>13790.52</v>
      </c>
      <c r="D72" s="9" t="s">
        <v>68</v>
      </c>
      <c r="E72" s="4">
        <v>4505</v>
      </c>
      <c r="F72" s="12" t="str">
        <f>VLOOKUP($E$2:$E$115,Debitorer!$A$2:$H$18,8)</f>
        <v>Løbende måned + 30 dage</v>
      </c>
      <c r="G72" s="164">
        <f>IF(Fakturaer!F72=Debitorer!$H$9,Fakturaer!B72,IF(Fakturaer!F72=Debitorer!$H$16,EOMONTH(Fakturaer!B72,1),IF(Fakturaer!F72=Debitorer!$H$13,EOMONTH(Fakturaer!B72,2))))</f>
        <v>38503</v>
      </c>
    </row>
    <row r="73" spans="1:7" x14ac:dyDescent="0.2">
      <c r="A73" s="4">
        <v>5160</v>
      </c>
      <c r="B73" s="3">
        <v>38471</v>
      </c>
      <c r="C73" s="5">
        <v>28405.439999999999</v>
      </c>
      <c r="D73" s="9" t="s">
        <v>68</v>
      </c>
      <c r="E73" s="4">
        <v>4530</v>
      </c>
      <c r="F73" s="12" t="str">
        <f>VLOOKUP($E$2:$E$115,Debitorer!$A$2:$H$18,8)</f>
        <v>Løbende måned + 30 dage</v>
      </c>
      <c r="G73" s="164">
        <f>IF(Fakturaer!F73=Debitorer!$H$9,Fakturaer!B73,IF(Fakturaer!F73=Debitorer!$H$16,EOMONTH(Fakturaer!B73,1),IF(Fakturaer!F73=Debitorer!$H$13,EOMONTH(Fakturaer!B73,2))))</f>
        <v>38503</v>
      </c>
    </row>
    <row r="74" spans="1:7" x14ac:dyDescent="0.2">
      <c r="A74" s="4">
        <v>5161</v>
      </c>
      <c r="B74" s="3">
        <v>38471</v>
      </c>
      <c r="C74" s="5">
        <v>40493.21</v>
      </c>
      <c r="D74" s="9" t="s">
        <v>68</v>
      </c>
      <c r="E74" s="4">
        <v>4510</v>
      </c>
      <c r="F74" s="12" t="str">
        <f>VLOOKUP($E$2:$E$115,Debitorer!$A$2:$H$18,8)</f>
        <v>Netto kontant</v>
      </c>
      <c r="G74" s="164">
        <f>IF(Fakturaer!F74=Debitorer!$H$9,Fakturaer!B74,IF(Fakturaer!F74=Debitorer!$H$16,EOMONTH(Fakturaer!B74,1),IF(Fakturaer!F74=Debitorer!$H$13,EOMONTH(Fakturaer!B74,2))))</f>
        <v>38471</v>
      </c>
    </row>
    <row r="75" spans="1:7" x14ac:dyDescent="0.2">
      <c r="A75" s="4">
        <v>5163</v>
      </c>
      <c r="B75" s="3">
        <v>38533</v>
      </c>
      <c r="C75" s="5">
        <v>67619.8</v>
      </c>
      <c r="D75" s="9" t="s">
        <v>68</v>
      </c>
      <c r="E75" s="4">
        <v>4505</v>
      </c>
      <c r="F75" s="12" t="str">
        <f>VLOOKUP($E$2:$E$115,Debitorer!$A$2:$H$18,8)</f>
        <v>Løbende måned + 30 dage</v>
      </c>
      <c r="G75" s="164">
        <f>IF(Fakturaer!F75=Debitorer!$H$9,Fakturaer!B75,IF(Fakturaer!F75=Debitorer!$H$16,EOMONTH(Fakturaer!B75,1),IF(Fakturaer!F75=Debitorer!$H$13,EOMONTH(Fakturaer!B75,2))))</f>
        <v>38564</v>
      </c>
    </row>
    <row r="76" spans="1:7" x14ac:dyDescent="0.2">
      <c r="A76" s="4">
        <v>5165</v>
      </c>
      <c r="B76" s="3">
        <v>38533</v>
      </c>
      <c r="C76" s="5">
        <v>43729.96</v>
      </c>
      <c r="D76" s="9" t="s">
        <v>68</v>
      </c>
      <c r="E76" s="4">
        <v>4505</v>
      </c>
      <c r="F76" s="12" t="str">
        <f>VLOOKUP($E$2:$E$115,Debitorer!$A$2:$H$18,8)</f>
        <v>Løbende måned + 30 dage</v>
      </c>
      <c r="G76" s="164">
        <f>IF(Fakturaer!F76=Debitorer!$H$9,Fakturaer!B76,IF(Fakturaer!F76=Debitorer!$H$16,EOMONTH(Fakturaer!B76,1),IF(Fakturaer!F76=Debitorer!$H$13,EOMONTH(Fakturaer!B76,2))))</f>
        <v>38564</v>
      </c>
    </row>
    <row r="77" spans="1:7" x14ac:dyDescent="0.2">
      <c r="A77" s="4">
        <v>5171</v>
      </c>
      <c r="B77" s="3">
        <v>38533</v>
      </c>
      <c r="C77" s="5">
        <v>16181.08</v>
      </c>
      <c r="D77" s="9" t="s">
        <v>68</v>
      </c>
      <c r="E77" s="4">
        <v>4505</v>
      </c>
      <c r="F77" s="12" t="str">
        <f>VLOOKUP($E$2:$E$115,Debitorer!$A$2:$H$18,8)</f>
        <v>Løbende måned + 30 dage</v>
      </c>
      <c r="G77" s="164">
        <f>IF(Fakturaer!F77=Debitorer!$H$9,Fakturaer!B77,IF(Fakturaer!F77=Debitorer!$H$16,EOMONTH(Fakturaer!B77,1),IF(Fakturaer!F77=Debitorer!$H$13,EOMONTH(Fakturaer!B77,2))))</f>
        <v>38564</v>
      </c>
    </row>
    <row r="78" spans="1:7" x14ac:dyDescent="0.2">
      <c r="A78" s="4">
        <v>5172</v>
      </c>
      <c r="B78" s="3">
        <v>38533</v>
      </c>
      <c r="C78" s="5">
        <v>48232.800000000003</v>
      </c>
      <c r="D78" s="9" t="s">
        <v>68</v>
      </c>
      <c r="E78" s="4">
        <v>4530</v>
      </c>
      <c r="F78" s="12" t="str">
        <f>VLOOKUP($E$2:$E$115,Debitorer!$A$2:$H$18,8)</f>
        <v>Løbende måned + 30 dage</v>
      </c>
      <c r="G78" s="164">
        <f>IF(Fakturaer!F78=Debitorer!$H$9,Fakturaer!B78,IF(Fakturaer!F78=Debitorer!$H$16,EOMONTH(Fakturaer!B78,1),IF(Fakturaer!F78=Debitorer!$H$13,EOMONTH(Fakturaer!B78,2))))</f>
        <v>38564</v>
      </c>
    </row>
    <row r="79" spans="1:7" x14ac:dyDescent="0.2">
      <c r="A79" s="4">
        <v>5169</v>
      </c>
      <c r="B79" s="3">
        <v>38533</v>
      </c>
      <c r="C79" s="5">
        <v>16950.189999999999</v>
      </c>
      <c r="D79" s="9" t="s">
        <v>73</v>
      </c>
      <c r="E79" s="4">
        <v>4410</v>
      </c>
      <c r="F79" s="12" t="str">
        <f>VLOOKUP($E$2:$E$115,Debitorer!$A$2:$H$18,8)</f>
        <v>Løbende måned + 60 dage</v>
      </c>
      <c r="G79" s="164">
        <f>IF(Fakturaer!F79=Debitorer!$H$9,Fakturaer!B79,IF(Fakturaer!F79=Debitorer!$H$16,EOMONTH(Fakturaer!B79,1),IF(Fakturaer!F79=Debitorer!$H$13,EOMONTH(Fakturaer!B79,2))))</f>
        <v>38595</v>
      </c>
    </row>
    <row r="80" spans="1:7" x14ac:dyDescent="0.2">
      <c r="A80" s="4">
        <v>5173</v>
      </c>
      <c r="B80" s="3">
        <v>38533</v>
      </c>
      <c r="C80" s="5">
        <v>25134.34</v>
      </c>
      <c r="D80" s="9" t="s">
        <v>73</v>
      </c>
      <c r="E80" s="4">
        <v>4410</v>
      </c>
      <c r="F80" s="12" t="str">
        <f>VLOOKUP($E$2:$E$115,Debitorer!$A$2:$H$18,8)</f>
        <v>Løbende måned + 60 dage</v>
      </c>
      <c r="G80" s="164">
        <f>IF(Fakturaer!F80=Debitorer!$H$9,Fakturaer!B80,IF(Fakturaer!F80=Debitorer!$H$16,EOMONTH(Fakturaer!B80,1),IF(Fakturaer!F80=Debitorer!$H$13,EOMONTH(Fakturaer!B80,2))))</f>
        <v>38595</v>
      </c>
    </row>
    <row r="81" spans="1:7" x14ac:dyDescent="0.2">
      <c r="A81" s="4">
        <v>5187</v>
      </c>
      <c r="B81" s="3">
        <v>38595</v>
      </c>
      <c r="C81" s="5">
        <v>23591</v>
      </c>
      <c r="D81" s="9" t="s">
        <v>68</v>
      </c>
      <c r="E81" s="4">
        <v>4520</v>
      </c>
      <c r="F81" s="12" t="str">
        <f>VLOOKUP($E$2:$E$115,Debitorer!$A$2:$H$18,8)</f>
        <v>Løbende måned + 30 dage</v>
      </c>
      <c r="G81" s="164">
        <f>IF(Fakturaer!F81=Debitorer!$H$9,Fakturaer!B81,IF(Fakturaer!F81=Debitorer!$H$16,EOMONTH(Fakturaer!B81,1),IF(Fakturaer!F81=Debitorer!$H$13,EOMONTH(Fakturaer!B81,2))))</f>
        <v>38625</v>
      </c>
    </row>
    <row r="82" spans="1:7" x14ac:dyDescent="0.2">
      <c r="A82" s="4">
        <v>5195</v>
      </c>
      <c r="B82" s="3">
        <v>38595</v>
      </c>
      <c r="C82" s="5">
        <v>55495.62</v>
      </c>
      <c r="D82" s="9" t="s">
        <v>68</v>
      </c>
      <c r="E82" s="4">
        <v>4505</v>
      </c>
      <c r="F82" s="12" t="str">
        <f>VLOOKUP($E$2:$E$115,Debitorer!$A$2:$H$18,8)</f>
        <v>Løbende måned + 30 dage</v>
      </c>
      <c r="G82" s="164">
        <f>IF(Fakturaer!F82=Debitorer!$H$9,Fakturaer!B82,IF(Fakturaer!F82=Debitorer!$H$16,EOMONTH(Fakturaer!B82,1),IF(Fakturaer!F82=Debitorer!$H$13,EOMONTH(Fakturaer!B82,2))))</f>
        <v>38625</v>
      </c>
    </row>
    <row r="83" spans="1:7" x14ac:dyDescent="0.2">
      <c r="A83" s="4">
        <v>5194</v>
      </c>
      <c r="B83" s="3">
        <v>38595</v>
      </c>
      <c r="C83" s="5">
        <v>18758.11</v>
      </c>
      <c r="D83" s="9" t="s">
        <v>73</v>
      </c>
      <c r="E83" s="4">
        <v>4410</v>
      </c>
      <c r="F83" s="12" t="str">
        <f>VLOOKUP($E$2:$E$115,Debitorer!$A$2:$H$18,8)</f>
        <v>Løbende måned + 60 dage</v>
      </c>
      <c r="G83" s="164">
        <f>IF(Fakturaer!F83=Debitorer!$H$9,Fakturaer!B83,IF(Fakturaer!F83=Debitorer!$H$16,EOMONTH(Fakturaer!B83,1),IF(Fakturaer!F83=Debitorer!$H$13,EOMONTH(Fakturaer!B83,2))))</f>
        <v>38656</v>
      </c>
    </row>
    <row r="84" spans="1:7" x14ac:dyDescent="0.2">
      <c r="A84" s="4">
        <v>5196</v>
      </c>
      <c r="B84" s="3">
        <v>38595</v>
      </c>
      <c r="C84" s="5">
        <v>45905.3</v>
      </c>
      <c r="D84" s="9" t="s">
        <v>73</v>
      </c>
      <c r="E84" s="4">
        <v>4410</v>
      </c>
      <c r="F84" s="12" t="str">
        <f>VLOOKUP($E$2:$E$115,Debitorer!$A$2:$H$18,8)</f>
        <v>Løbende måned + 60 dage</v>
      </c>
      <c r="G84" s="164">
        <f>IF(Fakturaer!F84=Debitorer!$H$9,Fakturaer!B84,IF(Fakturaer!F84=Debitorer!$H$16,EOMONTH(Fakturaer!B84,1),IF(Fakturaer!F84=Debitorer!$H$13,EOMONTH(Fakturaer!B84,2))))</f>
        <v>38656</v>
      </c>
    </row>
    <row r="85" spans="1:7" x14ac:dyDescent="0.2">
      <c r="A85" s="4">
        <v>5190</v>
      </c>
      <c r="B85" s="3">
        <v>38595</v>
      </c>
      <c r="C85" s="5">
        <v>6211.8</v>
      </c>
      <c r="D85" s="9" t="s">
        <v>73</v>
      </c>
      <c r="E85" s="4">
        <v>3105</v>
      </c>
      <c r="F85" s="12" t="str">
        <f>VLOOKUP($E$2:$E$115,Debitorer!$A$2:$H$18,8)</f>
        <v>Løbende måned + 60 dage</v>
      </c>
      <c r="G85" s="164">
        <f>IF(Fakturaer!F85=Debitorer!$H$9,Fakturaer!B85,IF(Fakturaer!F85=Debitorer!$H$16,EOMONTH(Fakturaer!B85,1),IF(Fakturaer!F85=Debitorer!$H$13,EOMONTH(Fakturaer!B85,2))))</f>
        <v>38656</v>
      </c>
    </row>
    <row r="86" spans="1:7" x14ac:dyDescent="0.2">
      <c r="A86" s="4">
        <v>5193</v>
      </c>
      <c r="B86" s="3">
        <v>38595</v>
      </c>
      <c r="C86" s="5">
        <v>17742.060000000001</v>
      </c>
      <c r="D86" s="9" t="s">
        <v>73</v>
      </c>
      <c r="E86" s="4">
        <v>3105</v>
      </c>
      <c r="F86" s="12" t="str">
        <f>VLOOKUP($E$2:$E$115,Debitorer!$A$2:$H$18,8)</f>
        <v>Løbende måned + 60 dage</v>
      </c>
      <c r="G86" s="164">
        <f>IF(Fakturaer!F86=Debitorer!$H$9,Fakturaer!B86,IF(Fakturaer!F86=Debitorer!$H$16,EOMONTH(Fakturaer!B86,1),IF(Fakturaer!F86=Debitorer!$H$13,EOMONTH(Fakturaer!B86,2))))</f>
        <v>38656</v>
      </c>
    </row>
    <row r="87" spans="1:7" x14ac:dyDescent="0.2">
      <c r="A87" s="4">
        <v>5203</v>
      </c>
      <c r="B87" s="3">
        <v>38730</v>
      </c>
      <c r="C87" s="5">
        <v>79590</v>
      </c>
      <c r="D87" s="9" t="s">
        <v>68</v>
      </c>
      <c r="E87" s="4">
        <v>4510</v>
      </c>
      <c r="F87" s="12" t="str">
        <f>VLOOKUP($E$2:$E$115,Debitorer!$A$2:$H$18,8)</f>
        <v>Netto kontant</v>
      </c>
      <c r="G87" s="164">
        <f>IF(Fakturaer!F87=Debitorer!$H$9,Fakturaer!B87,IF(Fakturaer!F87=Debitorer!$H$16,EOMONTH(Fakturaer!B87,1),IF(Fakturaer!F87=Debitorer!$H$13,EOMONTH(Fakturaer!B87,2))))</f>
        <v>38730</v>
      </c>
    </row>
    <row r="88" spans="1:7" x14ac:dyDescent="0.2">
      <c r="A88" s="4">
        <v>5204</v>
      </c>
      <c r="B88" s="3">
        <v>38736</v>
      </c>
      <c r="C88" s="5">
        <v>35678.42</v>
      </c>
      <c r="D88" s="9" t="s">
        <v>68</v>
      </c>
      <c r="E88" s="4">
        <v>4515</v>
      </c>
      <c r="F88" s="12" t="str">
        <f>VLOOKUP($E$2:$E$115,Debitorer!$A$2:$H$18,8)</f>
        <v>Netto kontant</v>
      </c>
      <c r="G88" s="164">
        <f>IF(Fakturaer!F88=Debitorer!$H$9,Fakturaer!B88,IF(Fakturaer!F88=Debitorer!$H$16,EOMONTH(Fakturaer!B88,1),IF(Fakturaer!F88=Debitorer!$H$13,EOMONTH(Fakturaer!B88,2))))</f>
        <v>38736</v>
      </c>
    </row>
    <row r="89" spans="1:7" x14ac:dyDescent="0.2">
      <c r="A89" s="4">
        <v>5206</v>
      </c>
      <c r="B89" s="3">
        <v>38741</v>
      </c>
      <c r="C89" s="5">
        <v>29400</v>
      </c>
      <c r="D89" s="9" t="s">
        <v>68</v>
      </c>
      <c r="E89" s="4">
        <v>4505</v>
      </c>
      <c r="F89" s="12" t="str">
        <f>VLOOKUP($E$2:$E$115,Debitorer!$A$2:$H$18,8)</f>
        <v>Løbende måned + 30 dage</v>
      </c>
      <c r="G89" s="164">
        <f>IF(Fakturaer!F89=Debitorer!$H$9,Fakturaer!B89,IF(Fakturaer!F89=Debitorer!$H$16,EOMONTH(Fakturaer!B89,1),IF(Fakturaer!F89=Debitorer!$H$13,EOMONTH(Fakturaer!B89,2))))</f>
        <v>38776</v>
      </c>
    </row>
    <row r="90" spans="1:7" x14ac:dyDescent="0.2">
      <c r="A90" s="4">
        <v>5202</v>
      </c>
      <c r="B90" s="3">
        <v>38748</v>
      </c>
      <c r="C90" s="5">
        <v>6765</v>
      </c>
      <c r="D90" s="9" t="s">
        <v>68</v>
      </c>
      <c r="E90" s="4">
        <v>5517</v>
      </c>
      <c r="F90" s="12" t="str">
        <f>VLOOKUP($E$2:$E$115,Debitorer!$A$2:$H$18,8)</f>
        <v>Løbende måned + 30 dage</v>
      </c>
      <c r="G90" s="164">
        <f>IF(Fakturaer!F90=Debitorer!$H$9,Fakturaer!B90,IF(Fakturaer!F90=Debitorer!$H$16,EOMONTH(Fakturaer!B90,1),IF(Fakturaer!F90=Debitorer!$H$13,EOMONTH(Fakturaer!B90,2))))</f>
        <v>38776</v>
      </c>
    </row>
    <row r="91" spans="1:7" x14ac:dyDescent="0.2">
      <c r="A91" s="4">
        <v>5208</v>
      </c>
      <c r="B91" s="3">
        <v>38765</v>
      </c>
      <c r="C91" s="5">
        <v>10709.16</v>
      </c>
      <c r="D91" s="9" t="s">
        <v>68</v>
      </c>
      <c r="E91" s="4">
        <v>4530</v>
      </c>
      <c r="F91" s="12" t="str">
        <f>VLOOKUP($E$2:$E$115,Debitorer!$A$2:$H$18,8)</f>
        <v>Løbende måned + 30 dage</v>
      </c>
      <c r="G91" s="164">
        <f>IF(Fakturaer!F91=Debitorer!$H$9,Fakturaer!B91,IF(Fakturaer!F91=Debitorer!$H$16,EOMONTH(Fakturaer!B91,1),IF(Fakturaer!F91=Debitorer!$H$13,EOMONTH(Fakturaer!B91,2))))</f>
        <v>38807</v>
      </c>
    </row>
    <row r="92" spans="1:7" x14ac:dyDescent="0.2">
      <c r="A92" s="4">
        <v>5212</v>
      </c>
      <c r="B92" s="3">
        <v>38781</v>
      </c>
      <c r="C92" s="5">
        <v>4872</v>
      </c>
      <c r="D92" s="9" t="s">
        <v>73</v>
      </c>
      <c r="E92" s="4">
        <v>3305</v>
      </c>
      <c r="F92" s="12" t="str">
        <f>VLOOKUP($E$2:$E$115,Debitorer!$A$2:$H$18,8)</f>
        <v>Løbende måned + 60 dage</v>
      </c>
      <c r="G92" s="164">
        <f>IF(Fakturaer!F92=Debitorer!$H$9,Fakturaer!B92,IF(Fakturaer!F92=Debitorer!$H$16,EOMONTH(Fakturaer!B92,1),IF(Fakturaer!F92=Debitorer!$H$13,EOMONTH(Fakturaer!B92,2))))</f>
        <v>38868</v>
      </c>
    </row>
    <row r="93" spans="1:7" x14ac:dyDescent="0.2">
      <c r="A93" s="4">
        <v>5248</v>
      </c>
      <c r="B93" s="3">
        <v>38801</v>
      </c>
      <c r="C93" s="5">
        <v>208300</v>
      </c>
      <c r="D93" s="9" t="s">
        <v>68</v>
      </c>
      <c r="E93" s="4">
        <v>4520</v>
      </c>
      <c r="F93" s="12" t="str">
        <f>VLOOKUP($E$2:$E$115,Debitorer!$A$2:$H$18,8)</f>
        <v>Løbende måned + 30 dage</v>
      </c>
      <c r="G93" s="164">
        <f>IF(Fakturaer!F93=Debitorer!$H$9,Fakturaer!B93,IF(Fakturaer!F93=Debitorer!$H$16,EOMONTH(Fakturaer!B93,1),IF(Fakturaer!F93=Debitorer!$H$13,EOMONTH(Fakturaer!B93,2))))</f>
        <v>38837</v>
      </c>
    </row>
    <row r="94" spans="1:7" x14ac:dyDescent="0.2">
      <c r="A94" s="4">
        <v>5213</v>
      </c>
      <c r="B94" s="3">
        <v>38809</v>
      </c>
      <c r="C94" s="5">
        <v>1067.99</v>
      </c>
      <c r="D94" s="9" t="s">
        <v>68</v>
      </c>
      <c r="E94" s="4">
        <v>4530</v>
      </c>
      <c r="F94" s="12" t="str">
        <f>VLOOKUP($E$2:$E$115,Debitorer!$A$2:$H$18,8)</f>
        <v>Løbende måned + 30 dage</v>
      </c>
      <c r="G94" s="164">
        <f>IF(Fakturaer!F94=Debitorer!$H$9,Fakturaer!B94,IF(Fakturaer!F94=Debitorer!$H$16,EOMONTH(Fakturaer!B94,1),IF(Fakturaer!F94=Debitorer!$H$13,EOMONTH(Fakturaer!B94,2))))</f>
        <v>38868</v>
      </c>
    </row>
    <row r="95" spans="1:7" x14ac:dyDescent="0.2">
      <c r="A95" s="4">
        <v>5214</v>
      </c>
      <c r="B95" s="3">
        <v>38847</v>
      </c>
      <c r="C95" s="5">
        <v>21710</v>
      </c>
      <c r="D95" s="9" t="s">
        <v>68</v>
      </c>
      <c r="E95" s="4">
        <v>4530</v>
      </c>
      <c r="F95" s="12" t="str">
        <f>VLOOKUP($E$2:$E$115,Debitorer!$A$2:$H$18,8)</f>
        <v>Løbende måned + 30 dage</v>
      </c>
      <c r="G95" s="164">
        <f>IF(Fakturaer!F95=Debitorer!$H$9,Fakturaer!B95,IF(Fakturaer!F95=Debitorer!$H$16,EOMONTH(Fakturaer!B95,1),IF(Fakturaer!F95=Debitorer!$H$13,EOMONTH(Fakturaer!B95,2))))</f>
        <v>38898</v>
      </c>
    </row>
    <row r="96" spans="1:7" x14ac:dyDescent="0.2">
      <c r="A96" s="4">
        <v>5200</v>
      </c>
      <c r="B96" s="3">
        <v>38858</v>
      </c>
      <c r="C96" s="5">
        <v>41265</v>
      </c>
      <c r="D96" s="9" t="s">
        <v>68</v>
      </c>
      <c r="E96" s="4">
        <v>4510</v>
      </c>
      <c r="F96" s="12" t="str">
        <f>VLOOKUP($E$2:$E$115,Debitorer!$A$2:$H$18,8)</f>
        <v>Netto kontant</v>
      </c>
      <c r="G96" s="164">
        <f>IF(Fakturaer!F96=Debitorer!$H$9,Fakturaer!B96,IF(Fakturaer!F96=Debitorer!$H$16,EOMONTH(Fakturaer!B96,1),IF(Fakturaer!F96=Debitorer!$H$13,EOMONTH(Fakturaer!B96,2))))</f>
        <v>38858</v>
      </c>
    </row>
    <row r="97" spans="1:7" x14ac:dyDescent="0.2">
      <c r="A97" s="4">
        <v>5249</v>
      </c>
      <c r="B97" s="3">
        <v>38868</v>
      </c>
      <c r="C97" s="5">
        <v>490700</v>
      </c>
      <c r="D97" s="9" t="s">
        <v>68</v>
      </c>
      <c r="E97" s="4">
        <v>4505</v>
      </c>
      <c r="F97" s="12" t="str">
        <f>VLOOKUP($E$2:$E$115,Debitorer!$A$2:$H$18,8)</f>
        <v>Løbende måned + 30 dage</v>
      </c>
      <c r="G97" s="164">
        <f>IF(Fakturaer!F97=Debitorer!$H$9,Fakturaer!B97,IF(Fakturaer!F97=Debitorer!$H$16,EOMONTH(Fakturaer!B97,1),IF(Fakturaer!F97=Debitorer!$H$13,EOMONTH(Fakturaer!B97,2))))</f>
        <v>38898</v>
      </c>
    </row>
    <row r="98" spans="1:7" x14ac:dyDescent="0.2">
      <c r="A98" s="4">
        <v>5220</v>
      </c>
      <c r="B98" s="3">
        <v>38903</v>
      </c>
      <c r="C98" s="5">
        <v>23665.74</v>
      </c>
      <c r="D98" s="9" t="s">
        <v>68</v>
      </c>
      <c r="E98" s="4">
        <v>4505</v>
      </c>
      <c r="F98" s="12" t="str">
        <f>VLOOKUP($E$2:$E$115,Debitorer!$A$2:$H$18,8)</f>
        <v>Løbende måned + 30 dage</v>
      </c>
      <c r="G98" s="164">
        <f>IF(Fakturaer!F98=Debitorer!$H$9,Fakturaer!B98,IF(Fakturaer!F98=Debitorer!$H$16,EOMONTH(Fakturaer!B98,1),IF(Fakturaer!F98=Debitorer!$H$13,EOMONTH(Fakturaer!B98,2))))</f>
        <v>38960</v>
      </c>
    </row>
    <row r="99" spans="1:7" x14ac:dyDescent="0.2">
      <c r="A99" s="4">
        <v>5219</v>
      </c>
      <c r="B99" s="3">
        <v>38904</v>
      </c>
      <c r="C99" s="5">
        <v>8757.42</v>
      </c>
      <c r="D99" s="9" t="s">
        <v>68</v>
      </c>
      <c r="E99" s="4">
        <v>4505</v>
      </c>
      <c r="F99" s="12" t="str">
        <f>VLOOKUP($E$2:$E$115,Debitorer!$A$2:$H$18,8)</f>
        <v>Løbende måned + 30 dage</v>
      </c>
      <c r="G99" s="164">
        <f>IF(Fakturaer!F99=Debitorer!$H$9,Fakturaer!B99,IF(Fakturaer!F99=Debitorer!$H$16,EOMONTH(Fakturaer!B99,1),IF(Fakturaer!F99=Debitorer!$H$13,EOMONTH(Fakturaer!B99,2))))</f>
        <v>38960</v>
      </c>
    </row>
    <row r="100" spans="1:7" x14ac:dyDescent="0.2">
      <c r="A100" s="4">
        <v>5222</v>
      </c>
      <c r="B100" s="3">
        <v>38960</v>
      </c>
      <c r="C100" s="5">
        <v>16860</v>
      </c>
      <c r="D100" s="9" t="s">
        <v>68</v>
      </c>
      <c r="E100" s="4">
        <v>4520</v>
      </c>
      <c r="F100" s="12" t="str">
        <f>VLOOKUP($E$2:$E$115,Debitorer!$A$2:$H$18,8)</f>
        <v>Løbende måned + 30 dage</v>
      </c>
      <c r="G100" s="164">
        <f>IF(Fakturaer!F100=Debitorer!$H$9,Fakturaer!B100,IF(Fakturaer!F100=Debitorer!$H$16,EOMONTH(Fakturaer!B100,1),IF(Fakturaer!F100=Debitorer!$H$13,EOMONTH(Fakturaer!B100,2))))</f>
        <v>38990</v>
      </c>
    </row>
    <row r="101" spans="1:7" x14ac:dyDescent="0.2">
      <c r="A101" s="4">
        <v>5223</v>
      </c>
      <c r="B101" s="3">
        <v>38977</v>
      </c>
      <c r="C101" s="5">
        <v>18634</v>
      </c>
      <c r="D101" s="9" t="s">
        <v>68</v>
      </c>
      <c r="E101" s="4">
        <v>4530</v>
      </c>
      <c r="F101" s="12" t="str">
        <f>VLOOKUP($E$2:$E$115,Debitorer!$A$2:$H$18,8)</f>
        <v>Løbende måned + 30 dage</v>
      </c>
      <c r="G101" s="164">
        <f>IF(Fakturaer!F101=Debitorer!$H$9,Fakturaer!B101,IF(Fakturaer!F101=Debitorer!$H$16,EOMONTH(Fakturaer!B101,1),IF(Fakturaer!F101=Debitorer!$H$13,EOMONTH(Fakturaer!B101,2))))</f>
        <v>39021</v>
      </c>
    </row>
    <row r="102" spans="1:7" x14ac:dyDescent="0.2">
      <c r="A102" s="4">
        <v>5250</v>
      </c>
      <c r="B102" s="3">
        <v>38990</v>
      </c>
      <c r="C102" s="5">
        <v>42750</v>
      </c>
      <c r="D102" s="9" t="s">
        <v>73</v>
      </c>
      <c r="E102" s="4">
        <v>4410</v>
      </c>
      <c r="F102" s="12" t="str">
        <f>VLOOKUP($E$2:$E$115,Debitorer!$A$2:$H$18,8)</f>
        <v>Løbende måned + 60 dage</v>
      </c>
      <c r="G102" s="164">
        <f>IF(Fakturaer!F102=Debitorer!$H$9,Fakturaer!B102,IF(Fakturaer!F102=Debitorer!$H$16,EOMONTH(Fakturaer!B102,1),IF(Fakturaer!F102=Debitorer!$H$13,EOMONTH(Fakturaer!B102,2))))</f>
        <v>39051</v>
      </c>
    </row>
    <row r="103" spans="1:7" x14ac:dyDescent="0.2">
      <c r="A103" s="4">
        <v>5224</v>
      </c>
      <c r="B103" s="3">
        <v>39010</v>
      </c>
      <c r="C103" s="5">
        <v>54250</v>
      </c>
      <c r="D103" s="9" t="s">
        <v>68</v>
      </c>
      <c r="E103" s="4">
        <v>5517</v>
      </c>
      <c r="F103" s="12" t="str">
        <f>VLOOKUP($E$2:$E$115,Debitorer!$A$2:$H$18,8)</f>
        <v>Løbende måned + 30 dage</v>
      </c>
      <c r="G103" s="164">
        <f>IF(Fakturaer!F103=Debitorer!$H$9,Fakturaer!B103,IF(Fakturaer!F103=Debitorer!$H$16,EOMONTH(Fakturaer!B103,1),IF(Fakturaer!F103=Debitorer!$H$13,EOMONTH(Fakturaer!B103,2))))</f>
        <v>39051</v>
      </c>
    </row>
    <row r="104" spans="1:7" x14ac:dyDescent="0.2">
      <c r="A104" s="4">
        <v>5228</v>
      </c>
      <c r="B104" s="3">
        <v>39023</v>
      </c>
      <c r="C104" s="5">
        <v>20109.18</v>
      </c>
      <c r="D104" s="9" t="s">
        <v>68</v>
      </c>
      <c r="E104" s="4">
        <v>5910</v>
      </c>
      <c r="F104" s="12" t="str">
        <f>VLOOKUP($E$2:$E$115,Debitorer!$A$2:$H$18,8)</f>
        <v>Løbende måned + 30 dage</v>
      </c>
      <c r="G104" s="164">
        <f>IF(Fakturaer!F104=Debitorer!$H$9,Fakturaer!B104,IF(Fakturaer!F104=Debitorer!$H$16,EOMONTH(Fakturaer!B104,1),IF(Fakturaer!F104=Debitorer!$H$13,EOMONTH(Fakturaer!B104,2))))</f>
        <v>39082</v>
      </c>
    </row>
    <row r="105" spans="1:7" x14ac:dyDescent="0.2">
      <c r="A105" s="4">
        <v>5251</v>
      </c>
      <c r="B105" s="3">
        <v>39051</v>
      </c>
      <c r="C105" s="5">
        <v>414550</v>
      </c>
      <c r="D105" s="9" t="s">
        <v>68</v>
      </c>
      <c r="E105" s="4">
        <v>4510</v>
      </c>
      <c r="F105" s="12" t="str">
        <f>VLOOKUP($E$2:$E$115,Debitorer!$A$2:$H$18,8)</f>
        <v>Netto kontant</v>
      </c>
      <c r="G105" s="164">
        <f>IF(Fakturaer!F105=Debitorer!$H$9,Fakturaer!B105,IF(Fakturaer!F105=Debitorer!$H$16,EOMONTH(Fakturaer!B105,1),IF(Fakturaer!F105=Debitorer!$H$13,EOMONTH(Fakturaer!B105,2))))</f>
        <v>39051</v>
      </c>
    </row>
    <row r="106" spans="1:7" x14ac:dyDescent="0.2">
      <c r="A106" s="4">
        <v>5233</v>
      </c>
      <c r="B106" s="3">
        <v>39141</v>
      </c>
      <c r="C106" s="5">
        <v>19840</v>
      </c>
      <c r="D106" s="9" t="s">
        <v>68</v>
      </c>
      <c r="E106" s="4">
        <v>4530</v>
      </c>
      <c r="F106" s="12" t="str">
        <f>VLOOKUP($E$2:$E$115,Debitorer!$A$2:$H$18,8)</f>
        <v>Løbende måned + 30 dage</v>
      </c>
      <c r="G106" s="164">
        <f>IF(Fakturaer!F106=Debitorer!$H$9,Fakturaer!B106,IF(Fakturaer!F106=Debitorer!$H$16,EOMONTH(Fakturaer!B106,1),IF(Fakturaer!F106=Debitorer!$H$13,EOMONTH(Fakturaer!B106,2))))</f>
        <v>39172</v>
      </c>
    </row>
    <row r="107" spans="1:7" x14ac:dyDescent="0.2">
      <c r="A107" s="4">
        <v>5235</v>
      </c>
      <c r="B107" s="3">
        <v>39172</v>
      </c>
      <c r="C107" s="5">
        <v>939</v>
      </c>
      <c r="D107" s="9" t="s">
        <v>68</v>
      </c>
      <c r="E107" s="4">
        <v>5910</v>
      </c>
      <c r="F107" s="12" t="str">
        <f>VLOOKUP($E$2:$E$115,Debitorer!$A$2:$H$18,8)</f>
        <v>Løbende måned + 30 dage</v>
      </c>
      <c r="G107" s="164">
        <f>IF(Fakturaer!F107=Debitorer!$H$9,Fakturaer!B107,IF(Fakturaer!F107=Debitorer!$H$16,EOMONTH(Fakturaer!B107,1),IF(Fakturaer!F107=Debitorer!$H$13,EOMONTH(Fakturaer!B107,2))))</f>
        <v>39202</v>
      </c>
    </row>
    <row r="108" spans="1:7" x14ac:dyDescent="0.2">
      <c r="A108" s="4">
        <v>5236</v>
      </c>
      <c r="B108" s="3">
        <v>39172</v>
      </c>
      <c r="C108" s="5">
        <v>18889.18</v>
      </c>
      <c r="D108" s="9" t="s">
        <v>68</v>
      </c>
      <c r="E108" s="4">
        <v>5517</v>
      </c>
      <c r="F108" s="12" t="str">
        <f>VLOOKUP($E$2:$E$115,Debitorer!$A$2:$H$18,8)</f>
        <v>Løbende måned + 30 dage</v>
      </c>
      <c r="G108" s="164">
        <f>IF(Fakturaer!F108=Debitorer!$H$9,Fakturaer!B108,IF(Fakturaer!F108=Debitorer!$H$16,EOMONTH(Fakturaer!B108,1),IF(Fakturaer!F108=Debitorer!$H$13,EOMONTH(Fakturaer!B108,2))))</f>
        <v>39202</v>
      </c>
    </row>
    <row r="109" spans="1:7" x14ac:dyDescent="0.2">
      <c r="A109" s="4">
        <v>5239</v>
      </c>
      <c r="B109" s="3">
        <v>39172</v>
      </c>
      <c r="C109" s="5">
        <v>85645</v>
      </c>
      <c r="D109" s="9" t="s">
        <v>68</v>
      </c>
      <c r="E109" s="4">
        <v>4505</v>
      </c>
      <c r="F109" s="12" t="str">
        <f>VLOOKUP($E$2:$E$115,Debitorer!$A$2:$H$18,8)</f>
        <v>Løbende måned + 30 dage</v>
      </c>
      <c r="G109" s="164">
        <f>IF(Fakturaer!F109=Debitorer!$H$9,Fakturaer!B109,IF(Fakturaer!F109=Debitorer!$H$16,EOMONTH(Fakturaer!B109,1),IF(Fakturaer!F109=Debitorer!$H$13,EOMONTH(Fakturaer!B109,2))))</f>
        <v>39202</v>
      </c>
    </row>
    <row r="110" spans="1:7" x14ac:dyDescent="0.2">
      <c r="A110" s="4">
        <v>5242</v>
      </c>
      <c r="B110" s="3">
        <v>39172</v>
      </c>
      <c r="C110" s="5">
        <v>300</v>
      </c>
      <c r="D110" s="9" t="s">
        <v>68</v>
      </c>
      <c r="E110" s="4">
        <v>4510</v>
      </c>
      <c r="F110" s="12" t="str">
        <f>VLOOKUP($E$2:$E$115,Debitorer!$A$2:$H$18,8)</f>
        <v>Netto kontant</v>
      </c>
      <c r="G110" s="164">
        <f>IF(Fakturaer!F110=Debitorer!$H$9,Fakturaer!B110,IF(Fakturaer!F110=Debitorer!$H$16,EOMONTH(Fakturaer!B110,1),IF(Fakturaer!F110=Debitorer!$H$13,EOMONTH(Fakturaer!B110,2))))</f>
        <v>39172</v>
      </c>
    </row>
    <row r="111" spans="1:7" x14ac:dyDescent="0.2">
      <c r="A111" s="4">
        <v>5238</v>
      </c>
      <c r="B111" s="3">
        <v>39172</v>
      </c>
      <c r="C111" s="5">
        <v>19582.64</v>
      </c>
      <c r="D111" s="9" t="s">
        <v>73</v>
      </c>
      <c r="E111" s="4">
        <v>4410</v>
      </c>
      <c r="F111" s="12" t="str">
        <f>VLOOKUP($E$2:$E$115,Debitorer!$A$2:$H$18,8)</f>
        <v>Løbende måned + 60 dage</v>
      </c>
      <c r="G111" s="164">
        <f>IF(Fakturaer!F111=Debitorer!$H$9,Fakturaer!B111,IF(Fakturaer!F111=Debitorer!$H$16,EOMONTH(Fakturaer!B111,1),IF(Fakturaer!F111=Debitorer!$H$13,EOMONTH(Fakturaer!B111,2))))</f>
        <v>39233</v>
      </c>
    </row>
    <row r="112" spans="1:7" x14ac:dyDescent="0.2">
      <c r="A112" s="4">
        <v>5243</v>
      </c>
      <c r="B112" s="3">
        <v>39202</v>
      </c>
      <c r="C112" s="5">
        <v>46390.33</v>
      </c>
      <c r="D112" s="9" t="s">
        <v>68</v>
      </c>
      <c r="E112" s="4">
        <v>4515</v>
      </c>
      <c r="F112" s="12" t="str">
        <f>VLOOKUP($E$2:$E$115,Debitorer!$A$2:$H$18,8)</f>
        <v>Netto kontant</v>
      </c>
      <c r="G112" s="164">
        <f>IF(Fakturaer!F112=Debitorer!$H$9,Fakturaer!B112,IF(Fakturaer!F112=Debitorer!$H$16,EOMONTH(Fakturaer!B112,1),IF(Fakturaer!F112=Debitorer!$H$13,EOMONTH(Fakturaer!B112,2))))</f>
        <v>39202</v>
      </c>
    </row>
    <row r="113" spans="1:7" x14ac:dyDescent="0.2">
      <c r="A113" s="4">
        <v>5245</v>
      </c>
      <c r="B113" s="3">
        <v>39202</v>
      </c>
      <c r="C113" s="5">
        <v>29260</v>
      </c>
      <c r="D113" s="9" t="s">
        <v>68</v>
      </c>
      <c r="E113" s="4">
        <v>4515</v>
      </c>
      <c r="F113" s="12" t="str">
        <f>VLOOKUP($E$2:$E$115,Debitorer!$A$2:$H$18,8)</f>
        <v>Netto kontant</v>
      </c>
      <c r="G113" s="164">
        <f>IF(Fakturaer!F113=Debitorer!$H$9,Fakturaer!B113,IF(Fakturaer!F113=Debitorer!$H$16,EOMONTH(Fakturaer!B113,1),IF(Fakturaer!F113=Debitorer!$H$13,EOMONTH(Fakturaer!B113,2))))</f>
        <v>39202</v>
      </c>
    </row>
    <row r="114" spans="1:7" x14ac:dyDescent="0.2">
      <c r="A114" s="4">
        <v>5246</v>
      </c>
      <c r="B114" s="3">
        <v>39202</v>
      </c>
      <c r="C114" s="5">
        <v>30000</v>
      </c>
      <c r="D114" s="9" t="s">
        <v>68</v>
      </c>
      <c r="E114" s="4">
        <v>5910</v>
      </c>
      <c r="F114" s="12" t="str">
        <f>VLOOKUP($E$2:$E$115,Debitorer!$A$2:$H$18,8)</f>
        <v>Løbende måned + 30 dage</v>
      </c>
      <c r="G114" s="164">
        <f>IF(Fakturaer!F114=Debitorer!$H$9,Fakturaer!B114,IF(Fakturaer!F114=Debitorer!$H$16,EOMONTH(Fakturaer!B114,1),IF(Fakturaer!F114=Debitorer!$H$13,EOMONTH(Fakturaer!B114,2))))</f>
        <v>39233</v>
      </c>
    </row>
    <row r="115" spans="1:7" x14ac:dyDescent="0.2">
      <c r="A115" s="4">
        <v>5244</v>
      </c>
      <c r="B115" s="3">
        <v>39202</v>
      </c>
      <c r="C115" s="5">
        <v>1640</v>
      </c>
      <c r="D115" s="9" t="s">
        <v>73</v>
      </c>
      <c r="E115" s="4">
        <v>3105</v>
      </c>
      <c r="F115" s="12" t="str">
        <f>VLOOKUP($E$2:$E$115,Debitorer!$A$2:$H$18,8)</f>
        <v>Løbende måned + 60 dage</v>
      </c>
      <c r="G115" s="164">
        <f>IF(Fakturaer!F115=Debitorer!$H$9,Fakturaer!B115,IF(Fakturaer!F115=Debitorer!$H$16,EOMONTH(Fakturaer!B115,1),IF(Fakturaer!F115=Debitorer!$H$13,EOMONTH(Fakturaer!B115,2))))</f>
        <v>39263</v>
      </c>
    </row>
  </sheetData>
  <phoneticPr fontId="0" type="noConversion"/>
  <pageMargins left="0.75" right="0.75" top="1" bottom="1" header="0.5" footer="0.5"/>
  <pageSetup paperSize="9" scale="56" fitToHeight="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F25" sqref="F25"/>
    </sheetView>
  </sheetViews>
  <sheetFormatPr defaultRowHeight="12.75" x14ac:dyDescent="0.2"/>
  <cols>
    <col min="1" max="1" width="15.5703125" customWidth="1"/>
    <col min="2" max="2" width="17.140625" customWidth="1"/>
    <col min="3" max="3" width="9.28515625" customWidth="1"/>
    <col min="4" max="4" width="15.85546875" customWidth="1"/>
    <col min="5" max="5" width="9.28515625" customWidth="1"/>
    <col min="6" max="6" width="15.85546875" customWidth="1"/>
    <col min="7" max="7" width="9.28515625" customWidth="1"/>
    <col min="8" max="8" width="15.85546875" customWidth="1"/>
    <col min="9" max="9" width="9.28515625" customWidth="1"/>
    <col min="10" max="10" width="22.42578125" customWidth="1"/>
    <col min="11" max="11" width="15.7109375" customWidth="1"/>
    <col min="12" max="12" width="9.28515625" bestFit="1" customWidth="1"/>
    <col min="13" max="13" width="8.5703125" customWidth="1"/>
    <col min="14" max="14" width="22.42578125" bestFit="1" customWidth="1"/>
    <col min="15" max="15" width="15.7109375" bestFit="1" customWidth="1"/>
    <col min="16" max="16" width="12.85546875" customWidth="1"/>
  </cols>
  <sheetData>
    <row r="1" spans="1:11" x14ac:dyDescent="0.2">
      <c r="A1" s="167" t="s">
        <v>60</v>
      </c>
      <c r="B1" t="s">
        <v>284</v>
      </c>
    </row>
    <row r="3" spans="1:11" x14ac:dyDescent="0.2">
      <c r="B3" s="167" t="s">
        <v>283</v>
      </c>
    </row>
    <row r="4" spans="1:11" x14ac:dyDescent="0.2">
      <c r="B4" s="168">
        <v>1</v>
      </c>
      <c r="D4" s="168">
        <v>2</v>
      </c>
      <c r="F4" s="168">
        <v>3</v>
      </c>
      <c r="H4" s="168">
        <v>4</v>
      </c>
      <c r="J4" s="168" t="s">
        <v>287</v>
      </c>
      <c r="K4" s="168" t="s">
        <v>285</v>
      </c>
    </row>
    <row r="5" spans="1:11" x14ac:dyDescent="0.2">
      <c r="A5" s="167" t="s">
        <v>281</v>
      </c>
      <c r="B5" t="s">
        <v>288</v>
      </c>
      <c r="C5" t="s">
        <v>286</v>
      </c>
      <c r="D5" t="s">
        <v>288</v>
      </c>
      <c r="E5" t="s">
        <v>286</v>
      </c>
      <c r="F5" t="s">
        <v>288</v>
      </c>
      <c r="G5" t="s">
        <v>286</v>
      </c>
      <c r="H5" t="s">
        <v>288</v>
      </c>
      <c r="I5" t="s">
        <v>286</v>
      </c>
    </row>
    <row r="6" spans="1:11" x14ac:dyDescent="0.2">
      <c r="A6" s="11">
        <v>2004</v>
      </c>
      <c r="B6" s="169">
        <v>386022.95000000007</v>
      </c>
      <c r="C6" s="170">
        <v>7.3563009604488236E-2</v>
      </c>
      <c r="D6" s="169">
        <v>330122.23999999999</v>
      </c>
      <c r="E6" s="170">
        <v>6.2910211716104364E-2</v>
      </c>
      <c r="F6" s="169">
        <v>553138.12999999989</v>
      </c>
      <c r="G6" s="170">
        <v>0.1054095503124844</v>
      </c>
      <c r="H6" s="169">
        <v>436666.87000000011</v>
      </c>
      <c r="I6" s="170">
        <v>8.321403986931819E-2</v>
      </c>
      <c r="J6" s="169">
        <v>1705950.19</v>
      </c>
      <c r="K6" s="170">
        <v>0.32509681150239517</v>
      </c>
    </row>
    <row r="7" spans="1:11" x14ac:dyDescent="0.2">
      <c r="A7" s="11">
        <v>2005</v>
      </c>
      <c r="B7" s="169">
        <v>831827.79000000015</v>
      </c>
      <c r="C7" s="170">
        <v>0.15851843965507809</v>
      </c>
      <c r="D7" s="169">
        <v>393881.76999999996</v>
      </c>
      <c r="E7" s="170">
        <v>7.5060636756293431E-2</v>
      </c>
      <c r="F7" s="169">
        <v>171594.56000000003</v>
      </c>
      <c r="G7" s="170">
        <v>3.2700160095035631E-2</v>
      </c>
      <c r="H7" s="169"/>
      <c r="I7" s="170">
        <v>0</v>
      </c>
      <c r="J7" s="169">
        <v>1397304.12</v>
      </c>
      <c r="K7" s="170">
        <v>0.26627923650640717</v>
      </c>
    </row>
    <row r="8" spans="1:11" x14ac:dyDescent="0.2">
      <c r="A8" s="11">
        <v>2006</v>
      </c>
      <c r="B8" s="169">
        <v>375314.58</v>
      </c>
      <c r="C8" s="170">
        <v>7.1522353925445273E-2</v>
      </c>
      <c r="D8" s="169">
        <v>568742.99</v>
      </c>
      <c r="E8" s="170">
        <v>0.10838331253583589</v>
      </c>
      <c r="F8" s="169">
        <v>448267.16000000003</v>
      </c>
      <c r="G8" s="170">
        <v>8.5424665545032141E-2</v>
      </c>
      <c r="H8" s="169">
        <v>488909.18</v>
      </c>
      <c r="I8" s="170">
        <v>9.3169669585869086E-2</v>
      </c>
      <c r="J8" s="169">
        <v>1881233.91</v>
      </c>
      <c r="K8" s="170">
        <v>0.35850000159218237</v>
      </c>
    </row>
    <row r="9" spans="1:11" x14ac:dyDescent="0.2">
      <c r="A9" s="11">
        <v>2007</v>
      </c>
      <c r="B9" s="169">
        <v>145195.82</v>
      </c>
      <c r="C9" s="170">
        <v>2.766944685851332E-2</v>
      </c>
      <c r="D9" s="169">
        <v>117830.32999999999</v>
      </c>
      <c r="E9" s="170">
        <v>2.2454503540501974E-2</v>
      </c>
      <c r="F9" s="169"/>
      <c r="G9" s="170">
        <v>0</v>
      </c>
      <c r="H9" s="169"/>
      <c r="I9" s="170">
        <v>0</v>
      </c>
      <c r="J9" s="169">
        <v>263026.15000000002</v>
      </c>
      <c r="K9" s="170">
        <v>5.01239503990153E-2</v>
      </c>
    </row>
    <row r="10" spans="1:11" x14ac:dyDescent="0.2">
      <c r="A10" s="11" t="s">
        <v>282</v>
      </c>
      <c r="B10" s="169">
        <v>1738361.1400000004</v>
      </c>
      <c r="C10" s="170">
        <v>0.33127325004352498</v>
      </c>
      <c r="D10" s="169">
        <v>1410577.33</v>
      </c>
      <c r="E10" s="170">
        <v>0.2688086645487357</v>
      </c>
      <c r="F10" s="169">
        <v>1172999.8500000001</v>
      </c>
      <c r="G10" s="170">
        <v>0.22353437595255218</v>
      </c>
      <c r="H10" s="169">
        <v>925576.05</v>
      </c>
      <c r="I10" s="170">
        <v>0.17638370945518725</v>
      </c>
      <c r="J10" s="169">
        <v>5247514.37</v>
      </c>
      <c r="K10" s="17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3"/>
  <sheetViews>
    <sheetView workbookViewId="0">
      <selection activeCell="D26" sqref="D26"/>
    </sheetView>
  </sheetViews>
  <sheetFormatPr defaultRowHeight="12.75" x14ac:dyDescent="0.2"/>
  <cols>
    <col min="1" max="1" width="16.28515625" style="8" bestFit="1" customWidth="1"/>
    <col min="2" max="2" width="10.140625" style="4" customWidth="1"/>
    <col min="3" max="3" width="12.85546875" style="4" bestFit="1" customWidth="1"/>
    <col min="4" max="4" width="16.7109375" bestFit="1" customWidth="1"/>
    <col min="5" max="5" width="9.42578125" style="6" customWidth="1"/>
    <col min="6" max="6" width="10.42578125" customWidth="1"/>
    <col min="7" max="7" width="10" customWidth="1"/>
    <col min="8" max="8" width="18.28515625" customWidth="1"/>
  </cols>
  <sheetData>
    <row r="1" spans="1:11" s="15" customFormat="1" ht="13.5" thickBot="1" x14ac:dyDescent="0.25">
      <c r="A1" s="21" t="s">
        <v>60</v>
      </c>
      <c r="B1" s="17" t="s">
        <v>61</v>
      </c>
      <c r="C1" s="17" t="s">
        <v>62</v>
      </c>
      <c r="D1" s="16" t="s">
        <v>67</v>
      </c>
      <c r="E1" s="22" t="s">
        <v>63</v>
      </c>
      <c r="F1" s="23" t="s">
        <v>64</v>
      </c>
      <c r="G1" s="23" t="s">
        <v>65</v>
      </c>
      <c r="H1" s="23" t="s">
        <v>154</v>
      </c>
      <c r="I1" s="23" t="s">
        <v>151</v>
      </c>
      <c r="J1" s="24" t="s">
        <v>152</v>
      </c>
      <c r="K1" s="25" t="s">
        <v>153</v>
      </c>
    </row>
    <row r="2" spans="1:11" x14ac:dyDescent="0.2">
      <c r="A2" s="8">
        <v>5246</v>
      </c>
      <c r="B2" s="4">
        <v>1</v>
      </c>
      <c r="C2" s="3">
        <v>39202</v>
      </c>
      <c r="D2" t="s">
        <v>82</v>
      </c>
      <c r="E2" s="6">
        <v>10000</v>
      </c>
      <c r="F2" s="165">
        <f>VLOOKUP($D$2:$D$273,Varelager!$A$2:$D$31,4)</f>
        <v>1.5080640000000001</v>
      </c>
      <c r="G2" s="165">
        <f>VLOOKUP($D$2:$D$273,Varelager!$A$2:$D$31,3)</f>
        <v>3</v>
      </c>
      <c r="H2" s="166">
        <f>G2*E2</f>
        <v>30000</v>
      </c>
      <c r="I2" s="18">
        <f>YEAR(C2)</f>
        <v>2007</v>
      </c>
      <c r="J2" s="18">
        <f>MONTH(C2)</f>
        <v>4</v>
      </c>
      <c r="K2" s="166">
        <f>IF(J2&lt;=3,1,IF(J2=4,2,IF(J2=5,2,IF(J2=6,2,IF(J2=7,3,IF(J2=8,3,IF(J2=9,3,IF(J2&gt;9,4))))))))</f>
        <v>2</v>
      </c>
    </row>
    <row r="3" spans="1:11" x14ac:dyDescent="0.2">
      <c r="A3" s="8">
        <v>5235</v>
      </c>
      <c r="B3" s="4">
        <v>1</v>
      </c>
      <c r="C3" s="3">
        <v>39172</v>
      </c>
      <c r="D3" t="s">
        <v>82</v>
      </c>
      <c r="E3" s="6">
        <v>313</v>
      </c>
      <c r="F3" s="165">
        <f>VLOOKUP($D$2:$D$273,Varelager!$A$2:$D$31,4)</f>
        <v>1.5080640000000001</v>
      </c>
      <c r="G3" s="165">
        <f>VLOOKUP($D$2:$D$273,Varelager!$A$2:$D$31,3)</f>
        <v>3</v>
      </c>
      <c r="H3" s="166">
        <f t="shared" ref="H3:H66" si="0">G3*E3</f>
        <v>939</v>
      </c>
      <c r="I3" s="18">
        <f t="shared" ref="I3:I66" si="1">YEAR(C3)</f>
        <v>2007</v>
      </c>
      <c r="J3" s="18">
        <f t="shared" ref="J3:J66" si="2">MONTH(C3)</f>
        <v>3</v>
      </c>
      <c r="K3" s="166">
        <f t="shared" ref="K3:K66" si="3">IF(J3&lt;=3,1,IF(J3=4,2,IF(J3=5,2,IF(J3=6,2,IF(J3=7,3,IF(J3=8,3,IF(J3=9,3,IF(J3&gt;9,4))))))))</f>
        <v>1</v>
      </c>
    </row>
    <row r="4" spans="1:11" x14ac:dyDescent="0.2">
      <c r="A4" s="8">
        <v>5228</v>
      </c>
      <c r="B4" s="4">
        <v>1</v>
      </c>
      <c r="C4" s="3">
        <v>39023</v>
      </c>
      <c r="D4" t="s">
        <v>70</v>
      </c>
      <c r="E4" s="6">
        <v>1651</v>
      </c>
      <c r="F4" s="165">
        <f>VLOOKUP($D$2:$D$273,Varelager!$A$2:$D$31,4)</f>
        <v>6.03</v>
      </c>
      <c r="G4" s="165">
        <f>VLOOKUP($D$2:$D$273,Varelager!$A$2:$D$31,3)</f>
        <v>12.18</v>
      </c>
      <c r="H4" s="166">
        <f t="shared" si="0"/>
        <v>20109.18</v>
      </c>
      <c r="I4" s="18">
        <f t="shared" si="1"/>
        <v>2006</v>
      </c>
      <c r="J4" s="18">
        <f t="shared" si="2"/>
        <v>11</v>
      </c>
      <c r="K4" s="166">
        <f t="shared" si="3"/>
        <v>4</v>
      </c>
    </row>
    <row r="5" spans="1:11" x14ac:dyDescent="0.2">
      <c r="A5" s="8">
        <v>5236</v>
      </c>
      <c r="B5" s="4">
        <v>2</v>
      </c>
      <c r="C5" s="3">
        <v>39172</v>
      </c>
      <c r="D5" t="s">
        <v>76</v>
      </c>
      <c r="E5" s="6">
        <v>1300</v>
      </c>
      <c r="F5" s="165">
        <f>VLOOKUP($D$2:$D$273,Varelager!$A$2:$D$31,4)</f>
        <v>5.004390986602</v>
      </c>
      <c r="G5" s="165">
        <f>VLOOKUP($D$2:$D$273,Varelager!$A$2:$D$31,3)</f>
        <v>10</v>
      </c>
      <c r="H5" s="166">
        <f t="shared" si="0"/>
        <v>13000</v>
      </c>
      <c r="I5" s="18">
        <f t="shared" si="1"/>
        <v>2007</v>
      </c>
      <c r="J5" s="18">
        <f t="shared" si="2"/>
        <v>3</v>
      </c>
      <c r="K5" s="166">
        <f t="shared" si="3"/>
        <v>1</v>
      </c>
    </row>
    <row r="6" spans="1:11" x14ac:dyDescent="0.2">
      <c r="A6" s="8">
        <v>5236</v>
      </c>
      <c r="B6" s="4">
        <v>3</v>
      </c>
      <c r="C6" s="3">
        <v>39172</v>
      </c>
      <c r="D6" t="s">
        <v>70</v>
      </c>
      <c r="E6" s="6">
        <v>1</v>
      </c>
      <c r="F6" s="165">
        <f>VLOOKUP($D$2:$D$273,Varelager!$A$2:$D$31,4)</f>
        <v>6.03</v>
      </c>
      <c r="G6" s="165">
        <f>VLOOKUP($D$2:$D$273,Varelager!$A$2:$D$31,3)</f>
        <v>12.18</v>
      </c>
      <c r="H6" s="166">
        <f t="shared" si="0"/>
        <v>12.18</v>
      </c>
      <c r="I6" s="18">
        <f t="shared" si="1"/>
        <v>2007</v>
      </c>
      <c r="J6" s="18">
        <f t="shared" si="2"/>
        <v>3</v>
      </c>
      <c r="K6" s="166">
        <f t="shared" si="3"/>
        <v>1</v>
      </c>
    </row>
    <row r="7" spans="1:11" x14ac:dyDescent="0.2">
      <c r="A7" s="8">
        <v>5236</v>
      </c>
      <c r="B7" s="4">
        <v>4</v>
      </c>
      <c r="C7" s="3">
        <v>39172</v>
      </c>
      <c r="D7" t="s">
        <v>82</v>
      </c>
      <c r="E7" s="6">
        <v>1959</v>
      </c>
      <c r="F7" s="165">
        <f>VLOOKUP($D$2:$D$273,Varelager!$A$2:$D$31,4)</f>
        <v>1.5080640000000001</v>
      </c>
      <c r="G7" s="165">
        <f>VLOOKUP($D$2:$D$273,Varelager!$A$2:$D$31,3)</f>
        <v>3</v>
      </c>
      <c r="H7" s="166">
        <f t="shared" si="0"/>
        <v>5877</v>
      </c>
      <c r="I7" s="18">
        <f t="shared" si="1"/>
        <v>2007</v>
      </c>
      <c r="J7" s="18">
        <f t="shared" si="2"/>
        <v>3</v>
      </c>
      <c r="K7" s="166">
        <f t="shared" si="3"/>
        <v>1</v>
      </c>
    </row>
    <row r="8" spans="1:11" x14ac:dyDescent="0.2">
      <c r="A8" s="8">
        <v>5224</v>
      </c>
      <c r="B8" s="4">
        <v>2</v>
      </c>
      <c r="C8" s="3">
        <v>39010</v>
      </c>
      <c r="D8" t="s">
        <v>69</v>
      </c>
      <c r="E8" s="6">
        <v>1550</v>
      </c>
      <c r="F8" s="165">
        <f>VLOOKUP($D$2:$D$273,Varelager!$A$2:$D$31,4)</f>
        <v>30.002954638333001</v>
      </c>
      <c r="G8" s="165">
        <f>VLOOKUP($D$2:$D$273,Varelager!$A$2:$D$31,3)</f>
        <v>35</v>
      </c>
      <c r="H8" s="166">
        <f t="shared" si="0"/>
        <v>54250</v>
      </c>
      <c r="I8" s="18">
        <f t="shared" si="1"/>
        <v>2006</v>
      </c>
      <c r="J8" s="18">
        <f t="shared" si="2"/>
        <v>10</v>
      </c>
      <c r="K8" s="166">
        <f t="shared" si="3"/>
        <v>4</v>
      </c>
    </row>
    <row r="9" spans="1:11" x14ac:dyDescent="0.2">
      <c r="A9" s="8">
        <v>5202</v>
      </c>
      <c r="B9" s="4">
        <v>2</v>
      </c>
      <c r="C9" s="3">
        <v>38748</v>
      </c>
      <c r="D9" t="s">
        <v>82</v>
      </c>
      <c r="E9" s="6">
        <v>1005</v>
      </c>
      <c r="F9" s="165">
        <f>VLOOKUP($D$2:$D$273,Varelager!$A$2:$D$31,4)</f>
        <v>1.5080640000000001</v>
      </c>
      <c r="G9" s="165">
        <f>VLOOKUP($D$2:$D$273,Varelager!$A$2:$D$31,3)</f>
        <v>3</v>
      </c>
      <c r="H9" s="166">
        <f t="shared" si="0"/>
        <v>3015</v>
      </c>
      <c r="I9" s="18">
        <f t="shared" si="1"/>
        <v>2006</v>
      </c>
      <c r="J9" s="18">
        <f t="shared" si="2"/>
        <v>1</v>
      </c>
      <c r="K9" s="166">
        <f t="shared" si="3"/>
        <v>1</v>
      </c>
    </row>
    <row r="10" spans="1:11" x14ac:dyDescent="0.2">
      <c r="A10" s="8">
        <v>5202</v>
      </c>
      <c r="B10" s="4">
        <v>3</v>
      </c>
      <c r="C10" s="3">
        <v>38748</v>
      </c>
      <c r="D10" t="s">
        <v>82</v>
      </c>
      <c r="E10" s="6">
        <v>1250</v>
      </c>
      <c r="F10" s="165">
        <f>VLOOKUP($D$2:$D$273,Varelager!$A$2:$D$31,4)</f>
        <v>1.5080640000000001</v>
      </c>
      <c r="G10" s="165">
        <f>VLOOKUP($D$2:$D$273,Varelager!$A$2:$D$31,3)</f>
        <v>3</v>
      </c>
      <c r="H10" s="166">
        <f t="shared" si="0"/>
        <v>3750</v>
      </c>
      <c r="I10" s="18">
        <f t="shared" si="1"/>
        <v>2006</v>
      </c>
      <c r="J10" s="18">
        <f t="shared" si="2"/>
        <v>1</v>
      </c>
      <c r="K10" s="166">
        <f t="shared" si="3"/>
        <v>1</v>
      </c>
    </row>
    <row r="11" spans="1:11" x14ac:dyDescent="0.2">
      <c r="A11" s="8">
        <v>5233</v>
      </c>
      <c r="B11" s="4">
        <v>1</v>
      </c>
      <c r="C11" s="3">
        <v>39141</v>
      </c>
      <c r="D11" t="s">
        <v>76</v>
      </c>
      <c r="E11" s="6">
        <v>1984</v>
      </c>
      <c r="F11" s="165">
        <f>VLOOKUP($D$2:$D$273,Varelager!$A$2:$D$31,4)</f>
        <v>5.004390986602</v>
      </c>
      <c r="G11" s="165">
        <f>VLOOKUP($D$2:$D$273,Varelager!$A$2:$D$31,3)</f>
        <v>10</v>
      </c>
      <c r="H11" s="166">
        <f t="shared" si="0"/>
        <v>19840</v>
      </c>
      <c r="I11" s="18">
        <f t="shared" si="1"/>
        <v>2007</v>
      </c>
      <c r="J11" s="18">
        <f t="shared" si="2"/>
        <v>2</v>
      </c>
      <c r="K11" s="166">
        <f t="shared" si="3"/>
        <v>1</v>
      </c>
    </row>
    <row r="12" spans="1:11" x14ac:dyDescent="0.2">
      <c r="A12" s="8">
        <v>5223</v>
      </c>
      <c r="B12" s="4">
        <v>1</v>
      </c>
      <c r="C12" s="3">
        <v>38977</v>
      </c>
      <c r="D12" t="s">
        <v>71</v>
      </c>
      <c r="E12" s="6">
        <v>1100</v>
      </c>
      <c r="F12" s="165">
        <f>VLOOKUP($D$2:$D$273,Varelager!$A$2:$D$31,4)</f>
        <v>7.52</v>
      </c>
      <c r="G12" s="165">
        <f>VLOOKUP($D$2:$D$273,Varelager!$A$2:$D$31,3)</f>
        <v>16.940000000000001</v>
      </c>
      <c r="H12" s="166">
        <f t="shared" si="0"/>
        <v>18634</v>
      </c>
      <c r="I12" s="18">
        <f t="shared" si="1"/>
        <v>2006</v>
      </c>
      <c r="J12" s="18">
        <f t="shared" si="2"/>
        <v>9</v>
      </c>
      <c r="K12" s="166">
        <f t="shared" si="3"/>
        <v>3</v>
      </c>
    </row>
    <row r="13" spans="1:11" x14ac:dyDescent="0.2">
      <c r="A13" s="8">
        <v>5214</v>
      </c>
      <c r="B13" s="4">
        <v>3</v>
      </c>
      <c r="C13" s="3">
        <v>38847</v>
      </c>
      <c r="D13" t="s">
        <v>76</v>
      </c>
      <c r="E13" s="6">
        <v>2171</v>
      </c>
      <c r="F13" s="165">
        <f>VLOOKUP($D$2:$D$273,Varelager!$A$2:$D$31,4)</f>
        <v>5.004390986602</v>
      </c>
      <c r="G13" s="165">
        <f>VLOOKUP($D$2:$D$273,Varelager!$A$2:$D$31,3)</f>
        <v>10</v>
      </c>
      <c r="H13" s="166">
        <f t="shared" si="0"/>
        <v>21710</v>
      </c>
      <c r="I13" s="18">
        <f t="shared" si="1"/>
        <v>2006</v>
      </c>
      <c r="J13" s="18">
        <f t="shared" si="2"/>
        <v>5</v>
      </c>
      <c r="K13" s="166">
        <f t="shared" si="3"/>
        <v>2</v>
      </c>
    </row>
    <row r="14" spans="1:11" x14ac:dyDescent="0.2">
      <c r="A14" s="8">
        <v>5213</v>
      </c>
      <c r="B14" s="4">
        <v>2</v>
      </c>
      <c r="C14" s="3">
        <v>38809</v>
      </c>
      <c r="D14" t="s">
        <v>80</v>
      </c>
      <c r="E14" s="6">
        <v>73</v>
      </c>
      <c r="F14" s="165">
        <f>VLOOKUP($D$2:$D$273,Varelager!$A$2:$D$31,4)</f>
        <v>8.7344200000000001</v>
      </c>
      <c r="G14" s="165">
        <f>VLOOKUP($D$2:$D$273,Varelager!$A$2:$D$31,3)</f>
        <v>14.63</v>
      </c>
      <c r="H14" s="166">
        <f t="shared" si="0"/>
        <v>1067.99</v>
      </c>
      <c r="I14" s="18">
        <f t="shared" si="1"/>
        <v>2006</v>
      </c>
      <c r="J14" s="18">
        <f t="shared" si="2"/>
        <v>4</v>
      </c>
      <c r="K14" s="166">
        <f t="shared" si="3"/>
        <v>2</v>
      </c>
    </row>
    <row r="15" spans="1:11" x14ac:dyDescent="0.2">
      <c r="A15" s="8">
        <v>5208</v>
      </c>
      <c r="B15" s="4">
        <v>1</v>
      </c>
      <c r="C15" s="3">
        <v>38765</v>
      </c>
      <c r="D15" t="s">
        <v>82</v>
      </c>
      <c r="E15" s="6">
        <v>476</v>
      </c>
      <c r="F15" s="165">
        <f>VLOOKUP($D$2:$D$273,Varelager!$A$2:$D$31,4)</f>
        <v>1.5080640000000001</v>
      </c>
      <c r="G15" s="165">
        <f>VLOOKUP($D$2:$D$273,Varelager!$A$2:$D$31,3)</f>
        <v>3</v>
      </c>
      <c r="H15" s="166">
        <f t="shared" si="0"/>
        <v>1428</v>
      </c>
      <c r="I15" s="18">
        <f t="shared" si="1"/>
        <v>2006</v>
      </c>
      <c r="J15" s="18">
        <f t="shared" si="2"/>
        <v>2</v>
      </c>
      <c r="K15" s="166">
        <f t="shared" si="3"/>
        <v>1</v>
      </c>
    </row>
    <row r="16" spans="1:11" x14ac:dyDescent="0.2">
      <c r="A16" s="8">
        <v>5208</v>
      </c>
      <c r="B16" s="4">
        <v>2</v>
      </c>
      <c r="C16" s="3">
        <v>38765</v>
      </c>
      <c r="D16" t="s">
        <v>77</v>
      </c>
      <c r="E16" s="6">
        <v>762</v>
      </c>
      <c r="F16" s="165">
        <f>VLOOKUP($D$2:$D$273,Varelager!$A$2:$D$31,4)</f>
        <v>6.26</v>
      </c>
      <c r="G16" s="165">
        <f>VLOOKUP($D$2:$D$273,Varelager!$A$2:$D$31,3)</f>
        <v>12.18</v>
      </c>
      <c r="H16" s="166">
        <f t="shared" si="0"/>
        <v>9281.16</v>
      </c>
      <c r="I16" s="18">
        <f t="shared" si="1"/>
        <v>2006</v>
      </c>
      <c r="J16" s="18">
        <f t="shared" si="2"/>
        <v>2</v>
      </c>
      <c r="K16" s="166">
        <f t="shared" si="3"/>
        <v>1</v>
      </c>
    </row>
    <row r="17" spans="1:11" x14ac:dyDescent="0.2">
      <c r="A17" s="8">
        <v>5172</v>
      </c>
      <c r="B17" s="4">
        <v>1</v>
      </c>
      <c r="C17" s="3">
        <v>38533</v>
      </c>
      <c r="D17" t="s">
        <v>71</v>
      </c>
      <c r="E17" s="6">
        <v>700</v>
      </c>
      <c r="F17" s="165">
        <f>VLOOKUP($D$2:$D$273,Varelager!$A$2:$D$31,4)</f>
        <v>7.52</v>
      </c>
      <c r="G17" s="165">
        <f>VLOOKUP($D$2:$D$273,Varelager!$A$2:$D$31,3)</f>
        <v>16.940000000000001</v>
      </c>
      <c r="H17" s="166">
        <f t="shared" si="0"/>
        <v>11858</v>
      </c>
      <c r="I17" s="18">
        <f t="shared" si="1"/>
        <v>2005</v>
      </c>
      <c r="J17" s="18">
        <f t="shared" si="2"/>
        <v>6</v>
      </c>
      <c r="K17" s="166">
        <f t="shared" si="3"/>
        <v>2</v>
      </c>
    </row>
    <row r="18" spans="1:11" x14ac:dyDescent="0.2">
      <c r="A18" s="8">
        <v>5172</v>
      </c>
      <c r="B18" s="4">
        <v>2</v>
      </c>
      <c r="C18" s="3">
        <v>38533</v>
      </c>
      <c r="D18" t="s">
        <v>80</v>
      </c>
      <c r="E18" s="6">
        <v>1112</v>
      </c>
      <c r="F18" s="165">
        <f>VLOOKUP($D$2:$D$273,Varelager!$A$2:$D$31,4)</f>
        <v>8.7344200000000001</v>
      </c>
      <c r="G18" s="165">
        <f>VLOOKUP($D$2:$D$273,Varelager!$A$2:$D$31,3)</f>
        <v>14.63</v>
      </c>
      <c r="H18" s="166">
        <f t="shared" si="0"/>
        <v>16268.560000000001</v>
      </c>
      <c r="I18" s="18">
        <f t="shared" si="1"/>
        <v>2005</v>
      </c>
      <c r="J18" s="18">
        <f t="shared" si="2"/>
        <v>6</v>
      </c>
      <c r="K18" s="166">
        <f t="shared" si="3"/>
        <v>2</v>
      </c>
    </row>
    <row r="19" spans="1:11" x14ac:dyDescent="0.2">
      <c r="A19" s="8">
        <v>5172</v>
      </c>
      <c r="B19" s="4">
        <v>3</v>
      </c>
      <c r="C19" s="3">
        <v>38533</v>
      </c>
      <c r="D19" t="s">
        <v>77</v>
      </c>
      <c r="E19" s="6">
        <v>1818</v>
      </c>
      <c r="F19" s="165">
        <f>VLOOKUP($D$2:$D$273,Varelager!$A$2:$D$31,4)</f>
        <v>6.26</v>
      </c>
      <c r="G19" s="165">
        <f>VLOOKUP($D$2:$D$273,Varelager!$A$2:$D$31,3)</f>
        <v>12.18</v>
      </c>
      <c r="H19" s="166">
        <f t="shared" si="0"/>
        <v>22143.239999999998</v>
      </c>
      <c r="I19" s="18">
        <f t="shared" si="1"/>
        <v>2005</v>
      </c>
      <c r="J19" s="18">
        <f t="shared" si="2"/>
        <v>6</v>
      </c>
      <c r="K19" s="166">
        <f t="shared" si="3"/>
        <v>2</v>
      </c>
    </row>
    <row r="20" spans="1:11" x14ac:dyDescent="0.2">
      <c r="A20" s="8">
        <v>5160</v>
      </c>
      <c r="B20" s="4">
        <v>1</v>
      </c>
      <c r="C20" s="3">
        <v>38471</v>
      </c>
      <c r="D20" t="s">
        <v>77</v>
      </c>
      <c r="E20" s="6">
        <v>13</v>
      </c>
      <c r="F20" s="165">
        <f>VLOOKUP($D$2:$D$273,Varelager!$A$2:$D$31,4)</f>
        <v>6.26</v>
      </c>
      <c r="G20" s="165">
        <f>VLOOKUP($D$2:$D$273,Varelager!$A$2:$D$31,3)</f>
        <v>12.18</v>
      </c>
      <c r="H20" s="166">
        <f t="shared" si="0"/>
        <v>158.34</v>
      </c>
      <c r="I20" s="18">
        <f t="shared" si="1"/>
        <v>2005</v>
      </c>
      <c r="J20" s="18">
        <f t="shared" si="2"/>
        <v>4</v>
      </c>
      <c r="K20" s="166">
        <f t="shared" si="3"/>
        <v>2</v>
      </c>
    </row>
    <row r="21" spans="1:11" x14ac:dyDescent="0.2">
      <c r="A21" s="8">
        <v>5160</v>
      </c>
      <c r="B21" s="4">
        <v>2</v>
      </c>
      <c r="C21" s="3">
        <v>38471</v>
      </c>
      <c r="D21" t="s">
        <v>70</v>
      </c>
      <c r="E21" s="6">
        <v>227</v>
      </c>
      <c r="F21" s="165">
        <f>VLOOKUP($D$2:$D$273,Varelager!$A$2:$D$31,4)</f>
        <v>6.03</v>
      </c>
      <c r="G21" s="165">
        <f>VLOOKUP($D$2:$D$273,Varelager!$A$2:$D$31,3)</f>
        <v>12.18</v>
      </c>
      <c r="H21" s="166">
        <f t="shared" si="0"/>
        <v>2764.86</v>
      </c>
      <c r="I21" s="18">
        <f t="shared" si="1"/>
        <v>2005</v>
      </c>
      <c r="J21" s="18">
        <f t="shared" si="2"/>
        <v>4</v>
      </c>
      <c r="K21" s="166">
        <f t="shared" si="3"/>
        <v>2</v>
      </c>
    </row>
    <row r="22" spans="1:11" x14ac:dyDescent="0.2">
      <c r="A22" s="8">
        <v>5160</v>
      </c>
      <c r="B22" s="4">
        <v>5</v>
      </c>
      <c r="C22" s="3">
        <v>38471</v>
      </c>
      <c r="D22" t="s">
        <v>69</v>
      </c>
      <c r="E22" s="6">
        <v>426</v>
      </c>
      <c r="F22" s="165">
        <f>VLOOKUP($D$2:$D$273,Varelager!$A$2:$D$31,4)</f>
        <v>30.002954638333001</v>
      </c>
      <c r="G22" s="165">
        <f>VLOOKUP($D$2:$D$273,Varelager!$A$2:$D$31,3)</f>
        <v>35</v>
      </c>
      <c r="H22" s="166">
        <f t="shared" si="0"/>
        <v>14910</v>
      </c>
      <c r="I22" s="18">
        <f t="shared" si="1"/>
        <v>2005</v>
      </c>
      <c r="J22" s="18">
        <f t="shared" si="2"/>
        <v>4</v>
      </c>
      <c r="K22" s="166">
        <f t="shared" si="3"/>
        <v>2</v>
      </c>
    </row>
    <row r="23" spans="1:11" x14ac:dyDescent="0.2">
      <c r="A23" s="8">
        <v>5160</v>
      </c>
      <c r="B23" s="4">
        <v>7</v>
      </c>
      <c r="C23" s="3">
        <v>38471</v>
      </c>
      <c r="D23" t="s">
        <v>77</v>
      </c>
      <c r="E23" s="6">
        <v>868</v>
      </c>
      <c r="F23" s="165">
        <f>VLOOKUP($D$2:$D$273,Varelager!$A$2:$D$31,4)</f>
        <v>6.26</v>
      </c>
      <c r="G23" s="165">
        <f>VLOOKUP($D$2:$D$273,Varelager!$A$2:$D$31,3)</f>
        <v>12.18</v>
      </c>
      <c r="H23" s="166">
        <f t="shared" si="0"/>
        <v>10572.24</v>
      </c>
      <c r="I23" s="18">
        <f t="shared" si="1"/>
        <v>2005</v>
      </c>
      <c r="J23" s="18">
        <f t="shared" si="2"/>
        <v>4</v>
      </c>
      <c r="K23" s="166">
        <f t="shared" si="3"/>
        <v>2</v>
      </c>
    </row>
    <row r="24" spans="1:11" x14ac:dyDescent="0.2">
      <c r="A24" s="8">
        <v>5158</v>
      </c>
      <c r="B24" s="4">
        <v>1</v>
      </c>
      <c r="C24" s="3">
        <v>38471</v>
      </c>
      <c r="D24" t="s">
        <v>71</v>
      </c>
      <c r="E24" s="6">
        <v>555</v>
      </c>
      <c r="F24" s="165">
        <f>VLOOKUP($D$2:$D$273,Varelager!$A$2:$D$31,4)</f>
        <v>7.52</v>
      </c>
      <c r="G24" s="165">
        <f>VLOOKUP($D$2:$D$273,Varelager!$A$2:$D$31,3)</f>
        <v>16.940000000000001</v>
      </c>
      <c r="H24" s="166">
        <f t="shared" si="0"/>
        <v>9401.7000000000007</v>
      </c>
      <c r="I24" s="18">
        <f t="shared" si="1"/>
        <v>2005</v>
      </c>
      <c r="J24" s="18">
        <f t="shared" si="2"/>
        <v>4</v>
      </c>
      <c r="K24" s="166">
        <f t="shared" si="3"/>
        <v>2</v>
      </c>
    </row>
    <row r="25" spans="1:11" x14ac:dyDescent="0.2">
      <c r="A25" s="8">
        <v>5157</v>
      </c>
      <c r="B25" s="4">
        <v>1</v>
      </c>
      <c r="C25" s="3">
        <v>38471</v>
      </c>
      <c r="D25" t="s">
        <v>69</v>
      </c>
      <c r="E25" s="6">
        <v>1914</v>
      </c>
      <c r="F25" s="165">
        <f>VLOOKUP($D$2:$D$273,Varelager!$A$2:$D$31,4)</f>
        <v>30.002954638333001</v>
      </c>
      <c r="G25" s="165">
        <f>VLOOKUP($D$2:$D$273,Varelager!$A$2:$D$31,3)</f>
        <v>35</v>
      </c>
      <c r="H25" s="166">
        <f t="shared" si="0"/>
        <v>66990</v>
      </c>
      <c r="I25" s="18">
        <f t="shared" si="1"/>
        <v>2005</v>
      </c>
      <c r="J25" s="18">
        <f t="shared" si="2"/>
        <v>4</v>
      </c>
      <c r="K25" s="166">
        <f t="shared" si="3"/>
        <v>2</v>
      </c>
    </row>
    <row r="26" spans="1:11" x14ac:dyDescent="0.2">
      <c r="A26" s="8">
        <v>5157</v>
      </c>
      <c r="B26" s="4">
        <v>2</v>
      </c>
      <c r="C26" s="3">
        <v>38471</v>
      </c>
      <c r="D26" t="s">
        <v>82</v>
      </c>
      <c r="E26" s="6">
        <v>319</v>
      </c>
      <c r="F26" s="165">
        <f>VLOOKUP($D$2:$D$273,Varelager!$A$2:$D$31,4)</f>
        <v>1.5080640000000001</v>
      </c>
      <c r="G26" s="165">
        <f>VLOOKUP($D$2:$D$273,Varelager!$A$2:$D$31,3)</f>
        <v>3</v>
      </c>
      <c r="H26" s="166">
        <f t="shared" si="0"/>
        <v>957</v>
      </c>
      <c r="I26" s="18">
        <f t="shared" si="1"/>
        <v>2005</v>
      </c>
      <c r="J26" s="18">
        <f t="shared" si="2"/>
        <v>4</v>
      </c>
      <c r="K26" s="166">
        <f t="shared" si="3"/>
        <v>2</v>
      </c>
    </row>
    <row r="27" spans="1:11" x14ac:dyDescent="0.2">
      <c r="A27" s="8">
        <v>5157</v>
      </c>
      <c r="B27" s="4">
        <v>3</v>
      </c>
      <c r="C27" s="3">
        <v>38471</v>
      </c>
      <c r="D27" t="s">
        <v>70</v>
      </c>
      <c r="E27" s="6">
        <v>775</v>
      </c>
      <c r="F27" s="165">
        <f>VLOOKUP($D$2:$D$273,Varelager!$A$2:$D$31,4)</f>
        <v>6.03</v>
      </c>
      <c r="G27" s="165">
        <f>VLOOKUP($D$2:$D$273,Varelager!$A$2:$D$31,3)</f>
        <v>12.18</v>
      </c>
      <c r="H27" s="166">
        <f t="shared" si="0"/>
        <v>9439.5</v>
      </c>
      <c r="I27" s="18">
        <f t="shared" si="1"/>
        <v>2005</v>
      </c>
      <c r="J27" s="18">
        <f t="shared" si="2"/>
        <v>4</v>
      </c>
      <c r="K27" s="166">
        <f t="shared" si="3"/>
        <v>2</v>
      </c>
    </row>
    <row r="28" spans="1:11" x14ac:dyDescent="0.2">
      <c r="A28" s="8">
        <v>5138</v>
      </c>
      <c r="B28" s="4">
        <v>1</v>
      </c>
      <c r="C28" s="3">
        <v>38442</v>
      </c>
      <c r="D28" t="s">
        <v>69</v>
      </c>
      <c r="E28" s="6">
        <v>865</v>
      </c>
      <c r="F28" s="165">
        <f>VLOOKUP($D$2:$D$273,Varelager!$A$2:$D$31,4)</f>
        <v>30.002954638333001</v>
      </c>
      <c r="G28" s="165">
        <f>VLOOKUP($D$2:$D$273,Varelager!$A$2:$D$31,3)</f>
        <v>35</v>
      </c>
      <c r="H28" s="166">
        <f t="shared" si="0"/>
        <v>30275</v>
      </c>
      <c r="I28" s="18">
        <f t="shared" si="1"/>
        <v>2005</v>
      </c>
      <c r="J28" s="18">
        <f t="shared" si="2"/>
        <v>3</v>
      </c>
      <c r="K28" s="166">
        <f t="shared" si="3"/>
        <v>1</v>
      </c>
    </row>
    <row r="29" spans="1:11" x14ac:dyDescent="0.2">
      <c r="A29" s="8">
        <v>5138</v>
      </c>
      <c r="B29" s="4">
        <v>3</v>
      </c>
      <c r="C29" s="3">
        <v>38442</v>
      </c>
      <c r="D29" t="s">
        <v>82</v>
      </c>
      <c r="E29" s="6">
        <v>781</v>
      </c>
      <c r="F29" s="165">
        <f>VLOOKUP($D$2:$D$273,Varelager!$A$2:$D$31,4)</f>
        <v>1.5080640000000001</v>
      </c>
      <c r="G29" s="165">
        <f>VLOOKUP($D$2:$D$273,Varelager!$A$2:$D$31,3)</f>
        <v>3</v>
      </c>
      <c r="H29" s="166">
        <f t="shared" si="0"/>
        <v>2343</v>
      </c>
      <c r="I29" s="18">
        <f t="shared" si="1"/>
        <v>2005</v>
      </c>
      <c r="J29" s="18">
        <f t="shared" si="2"/>
        <v>3</v>
      </c>
      <c r="K29" s="166">
        <f t="shared" si="3"/>
        <v>1</v>
      </c>
    </row>
    <row r="30" spans="1:11" x14ac:dyDescent="0.2">
      <c r="A30" s="8">
        <v>5131</v>
      </c>
      <c r="B30" s="4">
        <v>1</v>
      </c>
      <c r="C30" s="3">
        <v>38410</v>
      </c>
      <c r="D30" t="s">
        <v>82</v>
      </c>
      <c r="E30" s="6">
        <v>282</v>
      </c>
      <c r="F30" s="165">
        <f>VLOOKUP($D$2:$D$273,Varelager!$A$2:$D$31,4)</f>
        <v>1.5080640000000001</v>
      </c>
      <c r="G30" s="165">
        <f>VLOOKUP($D$2:$D$273,Varelager!$A$2:$D$31,3)</f>
        <v>3</v>
      </c>
      <c r="H30" s="166">
        <f t="shared" si="0"/>
        <v>846</v>
      </c>
      <c r="I30" s="18">
        <f t="shared" si="1"/>
        <v>2005</v>
      </c>
      <c r="J30" s="18">
        <f t="shared" si="2"/>
        <v>2</v>
      </c>
      <c r="K30" s="166">
        <f t="shared" si="3"/>
        <v>1</v>
      </c>
    </row>
    <row r="31" spans="1:11" x14ac:dyDescent="0.2">
      <c r="A31" s="8">
        <v>5131</v>
      </c>
      <c r="B31" s="4">
        <v>2</v>
      </c>
      <c r="C31" s="3">
        <v>38410</v>
      </c>
      <c r="D31" t="s">
        <v>71</v>
      </c>
      <c r="E31" s="6">
        <v>1681</v>
      </c>
      <c r="F31" s="165">
        <f>VLOOKUP($D$2:$D$273,Varelager!$A$2:$D$31,4)</f>
        <v>7.52</v>
      </c>
      <c r="G31" s="165">
        <f>VLOOKUP($D$2:$D$273,Varelager!$A$2:$D$31,3)</f>
        <v>16.940000000000001</v>
      </c>
      <c r="H31" s="166">
        <f t="shared" si="0"/>
        <v>28476.140000000003</v>
      </c>
      <c r="I31" s="18">
        <f t="shared" si="1"/>
        <v>2005</v>
      </c>
      <c r="J31" s="18">
        <f t="shared" si="2"/>
        <v>2</v>
      </c>
      <c r="K31" s="166">
        <f t="shared" si="3"/>
        <v>1</v>
      </c>
    </row>
    <row r="32" spans="1:11" x14ac:dyDescent="0.2">
      <c r="A32" s="8">
        <v>5131</v>
      </c>
      <c r="B32" s="4">
        <v>3</v>
      </c>
      <c r="C32" s="3">
        <v>38410</v>
      </c>
      <c r="D32" t="s">
        <v>80</v>
      </c>
      <c r="E32" s="6">
        <v>515</v>
      </c>
      <c r="F32" s="165">
        <f>VLOOKUP($D$2:$D$273,Varelager!$A$2:$D$31,4)</f>
        <v>8.7344200000000001</v>
      </c>
      <c r="G32" s="165">
        <f>VLOOKUP($D$2:$D$273,Varelager!$A$2:$D$31,3)</f>
        <v>14.63</v>
      </c>
      <c r="H32" s="166">
        <f t="shared" si="0"/>
        <v>7534.4500000000007</v>
      </c>
      <c r="I32" s="18">
        <f t="shared" si="1"/>
        <v>2005</v>
      </c>
      <c r="J32" s="18">
        <f t="shared" si="2"/>
        <v>2</v>
      </c>
      <c r="K32" s="166">
        <f t="shared" si="3"/>
        <v>1</v>
      </c>
    </row>
    <row r="33" spans="1:11" x14ac:dyDescent="0.2">
      <c r="A33" s="8">
        <v>5126</v>
      </c>
      <c r="B33" s="4">
        <v>2</v>
      </c>
      <c r="C33" s="3">
        <v>38410</v>
      </c>
      <c r="D33" t="s">
        <v>80</v>
      </c>
      <c r="E33" s="6">
        <v>976</v>
      </c>
      <c r="F33" s="165">
        <f>VLOOKUP($D$2:$D$273,Varelager!$A$2:$D$31,4)</f>
        <v>8.7344200000000001</v>
      </c>
      <c r="G33" s="165">
        <f>VLOOKUP($D$2:$D$273,Varelager!$A$2:$D$31,3)</f>
        <v>14.63</v>
      </c>
      <c r="H33" s="166">
        <f t="shared" si="0"/>
        <v>14278.880000000001</v>
      </c>
      <c r="I33" s="18">
        <f t="shared" si="1"/>
        <v>2005</v>
      </c>
      <c r="J33" s="18">
        <f t="shared" si="2"/>
        <v>2</v>
      </c>
      <c r="K33" s="166">
        <f t="shared" si="3"/>
        <v>1</v>
      </c>
    </row>
    <row r="34" spans="1:11" x14ac:dyDescent="0.2">
      <c r="A34" s="8">
        <v>5122</v>
      </c>
      <c r="B34" s="4">
        <v>2</v>
      </c>
      <c r="C34" s="3">
        <v>38383</v>
      </c>
      <c r="D34" t="s">
        <v>80</v>
      </c>
      <c r="E34" s="6">
        <v>377</v>
      </c>
      <c r="F34" s="165">
        <f>VLOOKUP($D$2:$D$273,Varelager!$A$2:$D$31,4)</f>
        <v>8.7344200000000001</v>
      </c>
      <c r="G34" s="165">
        <f>VLOOKUP($D$2:$D$273,Varelager!$A$2:$D$31,3)</f>
        <v>14.63</v>
      </c>
      <c r="H34" s="166">
        <f t="shared" si="0"/>
        <v>5515.51</v>
      </c>
      <c r="I34" s="18">
        <f t="shared" si="1"/>
        <v>2005</v>
      </c>
      <c r="J34" s="18">
        <f t="shared" si="2"/>
        <v>1</v>
      </c>
      <c r="K34" s="166">
        <f t="shared" si="3"/>
        <v>1</v>
      </c>
    </row>
    <row r="35" spans="1:11" x14ac:dyDescent="0.2">
      <c r="A35" s="8">
        <v>5103</v>
      </c>
      <c r="B35" s="4">
        <v>2</v>
      </c>
      <c r="C35" s="3">
        <v>38352</v>
      </c>
      <c r="D35" t="s">
        <v>76</v>
      </c>
      <c r="E35" s="6">
        <v>1338</v>
      </c>
      <c r="F35" s="165">
        <f>VLOOKUP($D$2:$D$273,Varelager!$A$2:$D$31,4)</f>
        <v>5.004390986602</v>
      </c>
      <c r="G35" s="165">
        <f>VLOOKUP($D$2:$D$273,Varelager!$A$2:$D$31,3)</f>
        <v>10</v>
      </c>
      <c r="H35" s="166">
        <f t="shared" si="0"/>
        <v>13380</v>
      </c>
      <c r="I35" s="18">
        <f t="shared" si="1"/>
        <v>2004</v>
      </c>
      <c r="J35" s="18">
        <f t="shared" si="2"/>
        <v>12</v>
      </c>
      <c r="K35" s="166">
        <f t="shared" si="3"/>
        <v>4</v>
      </c>
    </row>
    <row r="36" spans="1:11" x14ac:dyDescent="0.2">
      <c r="A36" s="8">
        <v>5098</v>
      </c>
      <c r="B36" s="4">
        <v>1</v>
      </c>
      <c r="C36" s="3">
        <v>38321</v>
      </c>
      <c r="D36" t="s">
        <v>70</v>
      </c>
      <c r="E36" s="6">
        <v>4</v>
      </c>
      <c r="F36" s="165">
        <f>VLOOKUP($D$2:$D$273,Varelager!$A$2:$D$31,4)</f>
        <v>6.03</v>
      </c>
      <c r="G36" s="165">
        <f>VLOOKUP($D$2:$D$273,Varelager!$A$2:$D$31,3)</f>
        <v>12.18</v>
      </c>
      <c r="H36" s="166">
        <f t="shared" si="0"/>
        <v>48.72</v>
      </c>
      <c r="I36" s="18">
        <f t="shared" si="1"/>
        <v>2004</v>
      </c>
      <c r="J36" s="18">
        <f t="shared" si="2"/>
        <v>11</v>
      </c>
      <c r="K36" s="166">
        <f t="shared" si="3"/>
        <v>4</v>
      </c>
    </row>
    <row r="37" spans="1:11" x14ac:dyDescent="0.2">
      <c r="A37" s="8">
        <v>5098</v>
      </c>
      <c r="B37" s="4">
        <v>2</v>
      </c>
      <c r="C37" s="3">
        <v>38321</v>
      </c>
      <c r="D37" t="s">
        <v>69</v>
      </c>
      <c r="E37" s="6">
        <v>1729</v>
      </c>
      <c r="F37" s="165">
        <f>VLOOKUP($D$2:$D$273,Varelager!$A$2:$D$31,4)</f>
        <v>30.002954638333001</v>
      </c>
      <c r="G37" s="165">
        <f>VLOOKUP($D$2:$D$273,Varelager!$A$2:$D$31,3)</f>
        <v>35</v>
      </c>
      <c r="H37" s="166">
        <f t="shared" si="0"/>
        <v>60515</v>
      </c>
      <c r="I37" s="18">
        <f t="shared" si="1"/>
        <v>2004</v>
      </c>
      <c r="J37" s="18">
        <f t="shared" si="2"/>
        <v>11</v>
      </c>
      <c r="K37" s="166">
        <f t="shared" si="3"/>
        <v>4</v>
      </c>
    </row>
    <row r="38" spans="1:11" x14ac:dyDescent="0.2">
      <c r="A38" s="8">
        <v>5098</v>
      </c>
      <c r="B38" s="4">
        <v>3</v>
      </c>
      <c r="C38" s="3">
        <v>38321</v>
      </c>
      <c r="D38" t="s">
        <v>69</v>
      </c>
      <c r="E38" s="6">
        <v>636</v>
      </c>
      <c r="F38" s="165">
        <f>VLOOKUP($D$2:$D$273,Varelager!$A$2:$D$31,4)</f>
        <v>30.002954638333001</v>
      </c>
      <c r="G38" s="165">
        <f>VLOOKUP($D$2:$D$273,Varelager!$A$2:$D$31,3)</f>
        <v>35</v>
      </c>
      <c r="H38" s="166">
        <f t="shared" si="0"/>
        <v>22260</v>
      </c>
      <c r="I38" s="18">
        <f t="shared" si="1"/>
        <v>2004</v>
      </c>
      <c r="J38" s="18">
        <f t="shared" si="2"/>
        <v>11</v>
      </c>
      <c r="K38" s="166">
        <f t="shared" si="3"/>
        <v>4</v>
      </c>
    </row>
    <row r="39" spans="1:11" x14ac:dyDescent="0.2">
      <c r="A39" s="8">
        <v>5098</v>
      </c>
      <c r="B39" s="4">
        <v>4</v>
      </c>
      <c r="C39" s="3">
        <v>38321</v>
      </c>
      <c r="D39" t="s">
        <v>70</v>
      </c>
      <c r="E39" s="6">
        <v>779</v>
      </c>
      <c r="F39" s="165">
        <f>VLOOKUP($D$2:$D$273,Varelager!$A$2:$D$31,4)</f>
        <v>6.03</v>
      </c>
      <c r="G39" s="165">
        <f>VLOOKUP($D$2:$D$273,Varelager!$A$2:$D$31,3)</f>
        <v>12.18</v>
      </c>
      <c r="H39" s="166">
        <f t="shared" si="0"/>
        <v>9488.2199999999993</v>
      </c>
      <c r="I39" s="18">
        <f t="shared" si="1"/>
        <v>2004</v>
      </c>
      <c r="J39" s="18">
        <f t="shared" si="2"/>
        <v>11</v>
      </c>
      <c r="K39" s="166">
        <f t="shared" si="3"/>
        <v>4</v>
      </c>
    </row>
    <row r="40" spans="1:11" x14ac:dyDescent="0.2">
      <c r="A40" s="8">
        <v>5088</v>
      </c>
      <c r="B40" s="4">
        <v>1</v>
      </c>
      <c r="C40" s="3">
        <v>38290</v>
      </c>
      <c r="D40" t="s">
        <v>77</v>
      </c>
      <c r="E40" s="6">
        <v>634</v>
      </c>
      <c r="F40" s="165">
        <f>VLOOKUP($D$2:$D$273,Varelager!$A$2:$D$31,4)</f>
        <v>6.26</v>
      </c>
      <c r="G40" s="165">
        <f>VLOOKUP($D$2:$D$273,Varelager!$A$2:$D$31,3)</f>
        <v>12.18</v>
      </c>
      <c r="H40" s="166">
        <f t="shared" si="0"/>
        <v>7722.12</v>
      </c>
      <c r="I40" s="18">
        <f t="shared" si="1"/>
        <v>2004</v>
      </c>
      <c r="J40" s="18">
        <f t="shared" si="2"/>
        <v>10</v>
      </c>
      <c r="K40" s="166">
        <f t="shared" si="3"/>
        <v>4</v>
      </c>
    </row>
    <row r="41" spans="1:11" x14ac:dyDescent="0.2">
      <c r="A41" s="8">
        <v>5085</v>
      </c>
      <c r="B41" s="4">
        <v>2</v>
      </c>
      <c r="C41" s="3">
        <v>38290</v>
      </c>
      <c r="D41" t="s">
        <v>82</v>
      </c>
      <c r="E41" s="6">
        <v>768</v>
      </c>
      <c r="F41" s="165">
        <f>VLOOKUP($D$2:$D$273,Varelager!$A$2:$D$31,4)</f>
        <v>1.5080640000000001</v>
      </c>
      <c r="G41" s="165">
        <f>VLOOKUP($D$2:$D$273,Varelager!$A$2:$D$31,3)</f>
        <v>3</v>
      </c>
      <c r="H41" s="166">
        <f t="shared" si="0"/>
        <v>2304</v>
      </c>
      <c r="I41" s="18">
        <f t="shared" si="1"/>
        <v>2004</v>
      </c>
      <c r="J41" s="18">
        <f t="shared" si="2"/>
        <v>10</v>
      </c>
      <c r="K41" s="166">
        <f t="shared" si="3"/>
        <v>4</v>
      </c>
    </row>
    <row r="42" spans="1:11" x14ac:dyDescent="0.2">
      <c r="A42" s="8">
        <v>5085</v>
      </c>
      <c r="B42" s="4">
        <v>3</v>
      </c>
      <c r="C42" s="3">
        <v>38290</v>
      </c>
      <c r="D42" t="s">
        <v>71</v>
      </c>
      <c r="E42" s="6">
        <v>1656</v>
      </c>
      <c r="F42" s="165">
        <f>VLOOKUP($D$2:$D$273,Varelager!$A$2:$D$31,4)</f>
        <v>7.52</v>
      </c>
      <c r="G42" s="165">
        <f>VLOOKUP($D$2:$D$273,Varelager!$A$2:$D$31,3)</f>
        <v>16.940000000000001</v>
      </c>
      <c r="H42" s="166">
        <f t="shared" si="0"/>
        <v>28052.640000000003</v>
      </c>
      <c r="I42" s="18">
        <f t="shared" si="1"/>
        <v>2004</v>
      </c>
      <c r="J42" s="18">
        <f t="shared" si="2"/>
        <v>10</v>
      </c>
      <c r="K42" s="166">
        <f t="shared" si="3"/>
        <v>4</v>
      </c>
    </row>
    <row r="43" spans="1:11" x14ac:dyDescent="0.2">
      <c r="A43" s="8">
        <v>5085</v>
      </c>
      <c r="B43" s="4">
        <v>5</v>
      </c>
      <c r="C43" s="3">
        <v>38290</v>
      </c>
      <c r="D43" t="s">
        <v>70</v>
      </c>
      <c r="E43" s="6">
        <v>1144</v>
      </c>
      <c r="F43" s="165">
        <f>VLOOKUP($D$2:$D$273,Varelager!$A$2:$D$31,4)</f>
        <v>6.03</v>
      </c>
      <c r="G43" s="165">
        <f>VLOOKUP($D$2:$D$273,Varelager!$A$2:$D$31,3)</f>
        <v>12.18</v>
      </c>
      <c r="H43" s="166">
        <f t="shared" si="0"/>
        <v>13933.92</v>
      </c>
      <c r="I43" s="18">
        <f t="shared" si="1"/>
        <v>2004</v>
      </c>
      <c r="J43" s="18">
        <f t="shared" si="2"/>
        <v>10</v>
      </c>
      <c r="K43" s="166">
        <f t="shared" si="3"/>
        <v>4</v>
      </c>
    </row>
    <row r="44" spans="1:11" x14ac:dyDescent="0.2">
      <c r="A44" s="8">
        <v>5072</v>
      </c>
      <c r="B44" s="4">
        <v>1</v>
      </c>
      <c r="C44" s="3">
        <v>38260</v>
      </c>
      <c r="D44" t="s">
        <v>71</v>
      </c>
      <c r="E44" s="6">
        <v>1367</v>
      </c>
      <c r="F44" s="165">
        <f>VLOOKUP($D$2:$D$273,Varelager!$A$2:$D$31,4)</f>
        <v>7.52</v>
      </c>
      <c r="G44" s="165">
        <f>VLOOKUP($D$2:$D$273,Varelager!$A$2:$D$31,3)</f>
        <v>16.940000000000001</v>
      </c>
      <c r="H44" s="166">
        <f t="shared" si="0"/>
        <v>23156.980000000003</v>
      </c>
      <c r="I44" s="18">
        <f t="shared" si="1"/>
        <v>2004</v>
      </c>
      <c r="J44" s="18">
        <f t="shared" si="2"/>
        <v>9</v>
      </c>
      <c r="K44" s="166">
        <f t="shared" si="3"/>
        <v>3</v>
      </c>
    </row>
    <row r="45" spans="1:11" x14ac:dyDescent="0.2">
      <c r="A45" s="8">
        <v>5072</v>
      </c>
      <c r="B45" s="4">
        <v>2</v>
      </c>
      <c r="C45" s="3">
        <v>38260</v>
      </c>
      <c r="D45" t="s">
        <v>82</v>
      </c>
      <c r="E45" s="6">
        <v>1842</v>
      </c>
      <c r="F45" s="165">
        <f>VLOOKUP($D$2:$D$273,Varelager!$A$2:$D$31,4)</f>
        <v>1.5080640000000001</v>
      </c>
      <c r="G45" s="165">
        <f>VLOOKUP($D$2:$D$273,Varelager!$A$2:$D$31,3)</f>
        <v>3</v>
      </c>
      <c r="H45" s="166">
        <f t="shared" si="0"/>
        <v>5526</v>
      </c>
      <c r="I45" s="18">
        <f t="shared" si="1"/>
        <v>2004</v>
      </c>
      <c r="J45" s="18">
        <f t="shared" si="2"/>
        <v>9</v>
      </c>
      <c r="K45" s="166">
        <f t="shared" si="3"/>
        <v>3</v>
      </c>
    </row>
    <row r="46" spans="1:11" x14ac:dyDescent="0.2">
      <c r="A46" s="8">
        <v>5072</v>
      </c>
      <c r="B46" s="4">
        <v>3</v>
      </c>
      <c r="C46" s="3">
        <v>38260</v>
      </c>
      <c r="D46" t="s">
        <v>71</v>
      </c>
      <c r="E46" s="6">
        <v>291</v>
      </c>
      <c r="F46" s="165">
        <f>VLOOKUP($D$2:$D$273,Varelager!$A$2:$D$31,4)</f>
        <v>7.52</v>
      </c>
      <c r="G46" s="165">
        <f>VLOOKUP($D$2:$D$273,Varelager!$A$2:$D$31,3)</f>
        <v>16.940000000000001</v>
      </c>
      <c r="H46" s="166">
        <f t="shared" si="0"/>
        <v>4929.54</v>
      </c>
      <c r="I46" s="18">
        <f t="shared" si="1"/>
        <v>2004</v>
      </c>
      <c r="J46" s="18">
        <f t="shared" si="2"/>
        <v>9</v>
      </c>
      <c r="K46" s="166">
        <f t="shared" si="3"/>
        <v>3</v>
      </c>
    </row>
    <row r="47" spans="1:11" x14ac:dyDescent="0.2">
      <c r="A47" s="8">
        <v>5072</v>
      </c>
      <c r="B47" s="4">
        <v>5</v>
      </c>
      <c r="C47" s="3">
        <v>38260</v>
      </c>
      <c r="D47" t="s">
        <v>69</v>
      </c>
      <c r="E47" s="6">
        <v>1174</v>
      </c>
      <c r="F47" s="165">
        <f>VLOOKUP($D$2:$D$273,Varelager!$A$2:$D$31,4)</f>
        <v>30.002954638333001</v>
      </c>
      <c r="G47" s="165">
        <f>VLOOKUP($D$2:$D$273,Varelager!$A$2:$D$31,3)</f>
        <v>35</v>
      </c>
      <c r="H47" s="166">
        <f t="shared" si="0"/>
        <v>41090</v>
      </c>
      <c r="I47" s="18">
        <f t="shared" si="1"/>
        <v>2004</v>
      </c>
      <c r="J47" s="18">
        <f t="shared" si="2"/>
        <v>9</v>
      </c>
      <c r="K47" s="166">
        <f t="shared" si="3"/>
        <v>3</v>
      </c>
    </row>
    <row r="48" spans="1:11" x14ac:dyDescent="0.2">
      <c r="A48" s="8">
        <v>5063</v>
      </c>
      <c r="B48" s="4">
        <v>3</v>
      </c>
      <c r="C48" s="3">
        <v>38230</v>
      </c>
      <c r="D48" t="s">
        <v>77</v>
      </c>
      <c r="E48" s="6">
        <v>1563</v>
      </c>
      <c r="F48" s="165">
        <f>VLOOKUP($D$2:$D$273,Varelager!$A$2:$D$31,4)</f>
        <v>6.26</v>
      </c>
      <c r="G48" s="165">
        <f>VLOOKUP($D$2:$D$273,Varelager!$A$2:$D$31,3)</f>
        <v>12.18</v>
      </c>
      <c r="H48" s="166">
        <f t="shared" si="0"/>
        <v>19037.34</v>
      </c>
      <c r="I48" s="18">
        <f t="shared" si="1"/>
        <v>2004</v>
      </c>
      <c r="J48" s="18">
        <f t="shared" si="2"/>
        <v>8</v>
      </c>
      <c r="K48" s="166">
        <f t="shared" si="3"/>
        <v>3</v>
      </c>
    </row>
    <row r="49" spans="1:11" x14ac:dyDescent="0.2">
      <c r="A49" s="8">
        <v>5063</v>
      </c>
      <c r="B49" s="4">
        <v>4</v>
      </c>
      <c r="C49" s="3">
        <v>38230</v>
      </c>
      <c r="D49" t="s">
        <v>76</v>
      </c>
      <c r="E49" s="6">
        <v>571</v>
      </c>
      <c r="F49" s="165">
        <f>VLOOKUP($D$2:$D$273,Varelager!$A$2:$D$31,4)</f>
        <v>5.004390986602</v>
      </c>
      <c r="G49" s="165">
        <f>VLOOKUP($D$2:$D$273,Varelager!$A$2:$D$31,3)</f>
        <v>10</v>
      </c>
      <c r="H49" s="166">
        <f t="shared" si="0"/>
        <v>5710</v>
      </c>
      <c r="I49" s="18">
        <f t="shared" si="1"/>
        <v>2004</v>
      </c>
      <c r="J49" s="18">
        <f t="shared" si="2"/>
        <v>8</v>
      </c>
      <c r="K49" s="166">
        <f t="shared" si="3"/>
        <v>3</v>
      </c>
    </row>
    <row r="50" spans="1:11" x14ac:dyDescent="0.2">
      <c r="A50" s="8">
        <v>5063</v>
      </c>
      <c r="B50" s="4">
        <v>5</v>
      </c>
      <c r="C50" s="3">
        <v>38230</v>
      </c>
      <c r="D50" t="s">
        <v>70</v>
      </c>
      <c r="E50" s="6">
        <v>722</v>
      </c>
      <c r="F50" s="165">
        <f>VLOOKUP($D$2:$D$273,Varelager!$A$2:$D$31,4)</f>
        <v>6.03</v>
      </c>
      <c r="G50" s="165">
        <f>VLOOKUP($D$2:$D$273,Varelager!$A$2:$D$31,3)</f>
        <v>12.18</v>
      </c>
      <c r="H50" s="166">
        <f t="shared" si="0"/>
        <v>8793.9599999999991</v>
      </c>
      <c r="I50" s="18">
        <f t="shared" si="1"/>
        <v>2004</v>
      </c>
      <c r="J50" s="18">
        <f t="shared" si="2"/>
        <v>8</v>
      </c>
      <c r="K50" s="166">
        <f t="shared" si="3"/>
        <v>3</v>
      </c>
    </row>
    <row r="51" spans="1:11" x14ac:dyDescent="0.2">
      <c r="A51" s="8">
        <v>5052</v>
      </c>
      <c r="B51" s="4">
        <v>1</v>
      </c>
      <c r="C51" s="3">
        <v>38199</v>
      </c>
      <c r="D51" t="s">
        <v>82</v>
      </c>
      <c r="E51" s="6">
        <v>1839</v>
      </c>
      <c r="F51" s="165">
        <f>VLOOKUP($D$2:$D$273,Varelager!$A$2:$D$31,4)</f>
        <v>1.5080640000000001</v>
      </c>
      <c r="G51" s="165">
        <f>VLOOKUP($D$2:$D$273,Varelager!$A$2:$D$31,3)</f>
        <v>3</v>
      </c>
      <c r="H51" s="166">
        <f t="shared" si="0"/>
        <v>5517</v>
      </c>
      <c r="I51" s="18">
        <f t="shared" si="1"/>
        <v>2004</v>
      </c>
      <c r="J51" s="18">
        <f t="shared" si="2"/>
        <v>7</v>
      </c>
      <c r="K51" s="166">
        <f t="shared" si="3"/>
        <v>3</v>
      </c>
    </row>
    <row r="52" spans="1:11" x14ac:dyDescent="0.2">
      <c r="A52" s="8">
        <v>5052</v>
      </c>
      <c r="B52" s="4">
        <v>2</v>
      </c>
      <c r="C52" s="3">
        <v>38199</v>
      </c>
      <c r="D52" t="s">
        <v>70</v>
      </c>
      <c r="E52" s="6">
        <v>806</v>
      </c>
      <c r="F52" s="165">
        <f>VLOOKUP($D$2:$D$273,Varelager!$A$2:$D$31,4)</f>
        <v>6.03</v>
      </c>
      <c r="G52" s="165">
        <f>VLOOKUP($D$2:$D$273,Varelager!$A$2:$D$31,3)</f>
        <v>12.18</v>
      </c>
      <c r="H52" s="166">
        <f t="shared" si="0"/>
        <v>9817.08</v>
      </c>
      <c r="I52" s="18">
        <f t="shared" si="1"/>
        <v>2004</v>
      </c>
      <c r="J52" s="18">
        <f t="shared" si="2"/>
        <v>7</v>
      </c>
      <c r="K52" s="166">
        <f t="shared" si="3"/>
        <v>3</v>
      </c>
    </row>
    <row r="53" spans="1:11" x14ac:dyDescent="0.2">
      <c r="A53" s="8">
        <v>5052</v>
      </c>
      <c r="B53" s="4">
        <v>3</v>
      </c>
      <c r="C53" s="3">
        <v>38199</v>
      </c>
      <c r="D53" t="s">
        <v>76</v>
      </c>
      <c r="E53" s="6">
        <v>1853</v>
      </c>
      <c r="F53" s="165">
        <f>VLOOKUP($D$2:$D$273,Varelager!$A$2:$D$31,4)</f>
        <v>5.004390986602</v>
      </c>
      <c r="G53" s="165">
        <f>VLOOKUP($D$2:$D$273,Varelager!$A$2:$D$31,3)</f>
        <v>10</v>
      </c>
      <c r="H53" s="166">
        <f t="shared" si="0"/>
        <v>18530</v>
      </c>
      <c r="I53" s="18">
        <f t="shared" si="1"/>
        <v>2004</v>
      </c>
      <c r="J53" s="18">
        <f t="shared" si="2"/>
        <v>7</v>
      </c>
      <c r="K53" s="166">
        <f t="shared" si="3"/>
        <v>3</v>
      </c>
    </row>
    <row r="54" spans="1:11" x14ac:dyDescent="0.2">
      <c r="A54" s="8">
        <v>5052</v>
      </c>
      <c r="B54" s="4">
        <v>4</v>
      </c>
      <c r="C54" s="3">
        <v>38199</v>
      </c>
      <c r="D54" t="s">
        <v>70</v>
      </c>
      <c r="E54" s="6">
        <v>207</v>
      </c>
      <c r="F54" s="165">
        <f>VLOOKUP($D$2:$D$273,Varelager!$A$2:$D$31,4)</f>
        <v>6.03</v>
      </c>
      <c r="G54" s="165">
        <f>VLOOKUP($D$2:$D$273,Varelager!$A$2:$D$31,3)</f>
        <v>12.18</v>
      </c>
      <c r="H54" s="166">
        <f t="shared" si="0"/>
        <v>2521.2599999999998</v>
      </c>
      <c r="I54" s="18">
        <f t="shared" si="1"/>
        <v>2004</v>
      </c>
      <c r="J54" s="18">
        <f t="shared" si="2"/>
        <v>7</v>
      </c>
      <c r="K54" s="166">
        <f t="shared" si="3"/>
        <v>3</v>
      </c>
    </row>
    <row r="55" spans="1:11" x14ac:dyDescent="0.2">
      <c r="A55" s="8">
        <v>5052</v>
      </c>
      <c r="B55" s="4">
        <v>7</v>
      </c>
      <c r="C55" s="3">
        <v>38199</v>
      </c>
      <c r="D55" t="s">
        <v>71</v>
      </c>
      <c r="E55" s="6">
        <v>763</v>
      </c>
      <c r="F55" s="165">
        <f>VLOOKUP($D$2:$D$273,Varelager!$A$2:$D$31,4)</f>
        <v>7.52</v>
      </c>
      <c r="G55" s="165">
        <f>VLOOKUP($D$2:$D$273,Varelager!$A$2:$D$31,3)</f>
        <v>16.940000000000001</v>
      </c>
      <c r="H55" s="166">
        <f t="shared" si="0"/>
        <v>12925.220000000001</v>
      </c>
      <c r="I55" s="18">
        <f t="shared" si="1"/>
        <v>2004</v>
      </c>
      <c r="J55" s="18">
        <f t="shared" si="2"/>
        <v>7</v>
      </c>
      <c r="K55" s="166">
        <f t="shared" si="3"/>
        <v>3</v>
      </c>
    </row>
    <row r="56" spans="1:11" x14ac:dyDescent="0.2">
      <c r="A56" s="8">
        <v>5048</v>
      </c>
      <c r="B56" s="4">
        <v>3</v>
      </c>
      <c r="C56" s="3">
        <v>38168</v>
      </c>
      <c r="D56" t="s">
        <v>69</v>
      </c>
      <c r="E56" s="6">
        <v>111</v>
      </c>
      <c r="F56" s="165">
        <f>VLOOKUP($D$2:$D$273,Varelager!$A$2:$D$31,4)</f>
        <v>30.002954638333001</v>
      </c>
      <c r="G56" s="165">
        <f>VLOOKUP($D$2:$D$273,Varelager!$A$2:$D$31,3)</f>
        <v>35</v>
      </c>
      <c r="H56" s="166">
        <f t="shared" si="0"/>
        <v>3885</v>
      </c>
      <c r="I56" s="18">
        <f t="shared" si="1"/>
        <v>2004</v>
      </c>
      <c r="J56" s="18">
        <f t="shared" si="2"/>
        <v>6</v>
      </c>
      <c r="K56" s="166">
        <f t="shared" si="3"/>
        <v>2</v>
      </c>
    </row>
    <row r="57" spans="1:11" x14ac:dyDescent="0.2">
      <c r="A57" s="8">
        <v>5048</v>
      </c>
      <c r="B57" s="4">
        <v>4</v>
      </c>
      <c r="C57" s="3">
        <v>38168</v>
      </c>
      <c r="D57" t="s">
        <v>77</v>
      </c>
      <c r="E57" s="6">
        <v>334</v>
      </c>
      <c r="F57" s="165">
        <f>VLOOKUP($D$2:$D$273,Varelager!$A$2:$D$31,4)</f>
        <v>6.26</v>
      </c>
      <c r="G57" s="165">
        <f>VLOOKUP($D$2:$D$273,Varelager!$A$2:$D$31,3)</f>
        <v>12.18</v>
      </c>
      <c r="H57" s="166">
        <f t="shared" si="0"/>
        <v>4068.12</v>
      </c>
      <c r="I57" s="18">
        <f t="shared" si="1"/>
        <v>2004</v>
      </c>
      <c r="J57" s="18">
        <f t="shared" si="2"/>
        <v>6</v>
      </c>
      <c r="K57" s="166">
        <f t="shared" si="3"/>
        <v>2</v>
      </c>
    </row>
    <row r="58" spans="1:11" x14ac:dyDescent="0.2">
      <c r="A58" s="8">
        <v>5048</v>
      </c>
      <c r="B58" s="4">
        <v>5</v>
      </c>
      <c r="C58" s="3">
        <v>38168</v>
      </c>
      <c r="D58" t="s">
        <v>82</v>
      </c>
      <c r="E58" s="6">
        <v>772</v>
      </c>
      <c r="F58" s="165">
        <f>VLOOKUP($D$2:$D$273,Varelager!$A$2:$D$31,4)</f>
        <v>1.5080640000000001</v>
      </c>
      <c r="G58" s="165">
        <f>VLOOKUP($D$2:$D$273,Varelager!$A$2:$D$31,3)</f>
        <v>3</v>
      </c>
      <c r="H58" s="166">
        <f t="shared" si="0"/>
        <v>2316</v>
      </c>
      <c r="I58" s="18">
        <f t="shared" si="1"/>
        <v>2004</v>
      </c>
      <c r="J58" s="18">
        <f t="shared" si="2"/>
        <v>6</v>
      </c>
      <c r="K58" s="166">
        <f t="shared" si="3"/>
        <v>2</v>
      </c>
    </row>
    <row r="59" spans="1:11" x14ac:dyDescent="0.2">
      <c r="A59" s="8">
        <v>5048</v>
      </c>
      <c r="B59" s="4">
        <v>6</v>
      </c>
      <c r="C59" s="3">
        <v>38168</v>
      </c>
      <c r="D59" t="s">
        <v>77</v>
      </c>
      <c r="E59" s="6">
        <v>54</v>
      </c>
      <c r="F59" s="165">
        <f>VLOOKUP($D$2:$D$273,Varelager!$A$2:$D$31,4)</f>
        <v>6.26</v>
      </c>
      <c r="G59" s="165">
        <f>VLOOKUP($D$2:$D$273,Varelager!$A$2:$D$31,3)</f>
        <v>12.18</v>
      </c>
      <c r="H59" s="166">
        <f t="shared" si="0"/>
        <v>657.72</v>
      </c>
      <c r="I59" s="18">
        <f t="shared" si="1"/>
        <v>2004</v>
      </c>
      <c r="J59" s="18">
        <f t="shared" si="2"/>
        <v>6</v>
      </c>
      <c r="K59" s="166">
        <f t="shared" si="3"/>
        <v>2</v>
      </c>
    </row>
    <row r="60" spans="1:11" x14ac:dyDescent="0.2">
      <c r="A60" s="8">
        <v>5038</v>
      </c>
      <c r="B60" s="4">
        <v>1</v>
      </c>
      <c r="C60" s="3">
        <v>38138</v>
      </c>
      <c r="D60" t="s">
        <v>82</v>
      </c>
      <c r="E60" s="6">
        <v>191</v>
      </c>
      <c r="F60" s="165">
        <f>VLOOKUP($D$2:$D$273,Varelager!$A$2:$D$31,4)</f>
        <v>1.5080640000000001</v>
      </c>
      <c r="G60" s="165">
        <f>VLOOKUP($D$2:$D$273,Varelager!$A$2:$D$31,3)</f>
        <v>3</v>
      </c>
      <c r="H60" s="166">
        <f t="shared" si="0"/>
        <v>573</v>
      </c>
      <c r="I60" s="18">
        <f t="shared" si="1"/>
        <v>2004</v>
      </c>
      <c r="J60" s="18">
        <f t="shared" si="2"/>
        <v>5</v>
      </c>
      <c r="K60" s="166">
        <f t="shared" si="3"/>
        <v>2</v>
      </c>
    </row>
    <row r="61" spans="1:11" x14ac:dyDescent="0.2">
      <c r="A61" s="8">
        <v>5038</v>
      </c>
      <c r="B61" s="4">
        <v>3</v>
      </c>
      <c r="C61" s="3">
        <v>38138</v>
      </c>
      <c r="D61" t="s">
        <v>77</v>
      </c>
      <c r="E61" s="6">
        <v>274</v>
      </c>
      <c r="F61" s="165">
        <f>VLOOKUP($D$2:$D$273,Varelager!$A$2:$D$31,4)</f>
        <v>6.26</v>
      </c>
      <c r="G61" s="165">
        <f>VLOOKUP($D$2:$D$273,Varelager!$A$2:$D$31,3)</f>
        <v>12.18</v>
      </c>
      <c r="H61" s="166">
        <f t="shared" si="0"/>
        <v>3337.3199999999997</v>
      </c>
      <c r="I61" s="18">
        <f t="shared" si="1"/>
        <v>2004</v>
      </c>
      <c r="J61" s="18">
        <f t="shared" si="2"/>
        <v>5</v>
      </c>
      <c r="K61" s="166">
        <f t="shared" si="3"/>
        <v>2</v>
      </c>
    </row>
    <row r="62" spans="1:11" x14ac:dyDescent="0.2">
      <c r="A62" s="8">
        <v>5038</v>
      </c>
      <c r="B62" s="4">
        <v>4</v>
      </c>
      <c r="C62" s="3">
        <v>38138</v>
      </c>
      <c r="D62" t="s">
        <v>69</v>
      </c>
      <c r="E62" s="6">
        <v>903</v>
      </c>
      <c r="F62" s="165">
        <f>VLOOKUP($D$2:$D$273,Varelager!$A$2:$D$31,4)</f>
        <v>30.002954638333001</v>
      </c>
      <c r="G62" s="165">
        <f>VLOOKUP($D$2:$D$273,Varelager!$A$2:$D$31,3)</f>
        <v>35</v>
      </c>
      <c r="H62" s="166">
        <f t="shared" si="0"/>
        <v>31605</v>
      </c>
      <c r="I62" s="18">
        <f t="shared" si="1"/>
        <v>2004</v>
      </c>
      <c r="J62" s="18">
        <f t="shared" si="2"/>
        <v>5</v>
      </c>
      <c r="K62" s="166">
        <f t="shared" si="3"/>
        <v>2</v>
      </c>
    </row>
    <row r="63" spans="1:11" x14ac:dyDescent="0.2">
      <c r="A63" s="8">
        <v>5038</v>
      </c>
      <c r="B63" s="4">
        <v>5</v>
      </c>
      <c r="C63" s="3">
        <v>38138</v>
      </c>
      <c r="D63" t="s">
        <v>77</v>
      </c>
      <c r="E63" s="6">
        <v>1159</v>
      </c>
      <c r="F63" s="165">
        <f>VLOOKUP($D$2:$D$273,Varelager!$A$2:$D$31,4)</f>
        <v>6.26</v>
      </c>
      <c r="G63" s="165">
        <f>VLOOKUP($D$2:$D$273,Varelager!$A$2:$D$31,3)</f>
        <v>12.18</v>
      </c>
      <c r="H63" s="166">
        <f t="shared" si="0"/>
        <v>14116.619999999999</v>
      </c>
      <c r="I63" s="18">
        <f t="shared" si="1"/>
        <v>2004</v>
      </c>
      <c r="J63" s="18">
        <f t="shared" si="2"/>
        <v>5</v>
      </c>
      <c r="K63" s="166">
        <f t="shared" si="3"/>
        <v>2</v>
      </c>
    </row>
    <row r="64" spans="1:11" x14ac:dyDescent="0.2">
      <c r="A64" s="8">
        <v>5038</v>
      </c>
      <c r="B64" s="4">
        <v>6</v>
      </c>
      <c r="C64" s="3">
        <v>38138</v>
      </c>
      <c r="D64" t="s">
        <v>80</v>
      </c>
      <c r="E64" s="6">
        <v>163</v>
      </c>
      <c r="F64" s="165">
        <f>VLOOKUP($D$2:$D$273,Varelager!$A$2:$D$31,4)</f>
        <v>8.7344200000000001</v>
      </c>
      <c r="G64" s="165">
        <f>VLOOKUP($D$2:$D$273,Varelager!$A$2:$D$31,3)</f>
        <v>14.63</v>
      </c>
      <c r="H64" s="166">
        <f t="shared" si="0"/>
        <v>2384.69</v>
      </c>
      <c r="I64" s="18">
        <f t="shared" si="1"/>
        <v>2004</v>
      </c>
      <c r="J64" s="18">
        <f t="shared" si="2"/>
        <v>5</v>
      </c>
      <c r="K64" s="166">
        <f t="shared" si="3"/>
        <v>2</v>
      </c>
    </row>
    <row r="65" spans="1:11" x14ac:dyDescent="0.2">
      <c r="A65" s="8">
        <v>5038</v>
      </c>
      <c r="B65" s="4">
        <v>7</v>
      </c>
      <c r="C65" s="3">
        <v>38138</v>
      </c>
      <c r="D65" t="s">
        <v>82</v>
      </c>
      <c r="E65" s="6">
        <v>971</v>
      </c>
      <c r="F65" s="165">
        <f>VLOOKUP($D$2:$D$273,Varelager!$A$2:$D$31,4)</f>
        <v>1.5080640000000001</v>
      </c>
      <c r="G65" s="165">
        <f>VLOOKUP($D$2:$D$273,Varelager!$A$2:$D$31,3)</f>
        <v>3</v>
      </c>
      <c r="H65" s="166">
        <f t="shared" si="0"/>
        <v>2913</v>
      </c>
      <c r="I65" s="18">
        <f t="shared" si="1"/>
        <v>2004</v>
      </c>
      <c r="J65" s="18">
        <f t="shared" si="2"/>
        <v>5</v>
      </c>
      <c r="K65" s="166">
        <f t="shared" si="3"/>
        <v>2</v>
      </c>
    </row>
    <row r="66" spans="1:11" x14ac:dyDescent="0.2">
      <c r="A66" s="8">
        <v>5036</v>
      </c>
      <c r="B66" s="4">
        <v>2</v>
      </c>
      <c r="C66" s="3">
        <v>38138</v>
      </c>
      <c r="D66" t="s">
        <v>82</v>
      </c>
      <c r="E66" s="6">
        <v>492</v>
      </c>
      <c r="F66" s="165">
        <f>VLOOKUP($D$2:$D$273,Varelager!$A$2:$D$31,4)</f>
        <v>1.5080640000000001</v>
      </c>
      <c r="G66" s="165">
        <f>VLOOKUP($D$2:$D$273,Varelager!$A$2:$D$31,3)</f>
        <v>3</v>
      </c>
      <c r="H66" s="166">
        <f t="shared" si="0"/>
        <v>1476</v>
      </c>
      <c r="I66" s="18">
        <f t="shared" si="1"/>
        <v>2004</v>
      </c>
      <c r="J66" s="18">
        <f t="shared" si="2"/>
        <v>5</v>
      </c>
      <c r="K66" s="166">
        <f t="shared" si="3"/>
        <v>2</v>
      </c>
    </row>
    <row r="67" spans="1:11" x14ac:dyDescent="0.2">
      <c r="A67" s="8">
        <v>5036</v>
      </c>
      <c r="B67" s="4">
        <v>3</v>
      </c>
      <c r="C67" s="3">
        <v>38138</v>
      </c>
      <c r="D67" t="s">
        <v>80</v>
      </c>
      <c r="E67" s="6">
        <v>1015</v>
      </c>
      <c r="F67" s="165">
        <f>VLOOKUP($D$2:$D$273,Varelager!$A$2:$D$31,4)</f>
        <v>8.7344200000000001</v>
      </c>
      <c r="G67" s="165">
        <f>VLOOKUP($D$2:$D$273,Varelager!$A$2:$D$31,3)</f>
        <v>14.63</v>
      </c>
      <c r="H67" s="166">
        <f t="shared" ref="H67:H130" si="4">G67*E67</f>
        <v>14849.45</v>
      </c>
      <c r="I67" s="18">
        <f t="shared" ref="I67:I130" si="5">YEAR(C67)</f>
        <v>2004</v>
      </c>
      <c r="J67" s="18">
        <f t="shared" ref="J67:J130" si="6">MONTH(C67)</f>
        <v>5</v>
      </c>
      <c r="K67" s="166">
        <f t="shared" ref="K67:K130" si="7">IF(J67&lt;=3,1,IF(J67=4,2,IF(J67=5,2,IF(J67=6,2,IF(J67=7,3,IF(J67=8,3,IF(J67=9,3,IF(J67&gt;9,4))))))))</f>
        <v>2</v>
      </c>
    </row>
    <row r="68" spans="1:11" x14ac:dyDescent="0.2">
      <c r="A68" s="8">
        <v>5036</v>
      </c>
      <c r="B68" s="4">
        <v>4</v>
      </c>
      <c r="C68" s="3">
        <v>38138</v>
      </c>
      <c r="D68" t="s">
        <v>82</v>
      </c>
      <c r="E68" s="6">
        <v>911</v>
      </c>
      <c r="F68" s="165">
        <f>VLOOKUP($D$2:$D$273,Varelager!$A$2:$D$31,4)</f>
        <v>1.5080640000000001</v>
      </c>
      <c r="G68" s="165">
        <f>VLOOKUP($D$2:$D$273,Varelager!$A$2:$D$31,3)</f>
        <v>3</v>
      </c>
      <c r="H68" s="166">
        <f t="shared" si="4"/>
        <v>2733</v>
      </c>
      <c r="I68" s="18">
        <f t="shared" si="5"/>
        <v>2004</v>
      </c>
      <c r="J68" s="18">
        <f t="shared" si="6"/>
        <v>5</v>
      </c>
      <c r="K68" s="166">
        <f t="shared" si="7"/>
        <v>2</v>
      </c>
    </row>
    <row r="69" spans="1:11" x14ac:dyDescent="0.2">
      <c r="A69" s="8">
        <v>5031</v>
      </c>
      <c r="B69" s="4">
        <v>1</v>
      </c>
      <c r="C69" s="3">
        <v>38138</v>
      </c>
      <c r="D69" t="s">
        <v>70</v>
      </c>
      <c r="E69" s="6">
        <v>1517</v>
      </c>
      <c r="F69" s="165">
        <f>VLOOKUP($D$2:$D$273,Varelager!$A$2:$D$31,4)</f>
        <v>6.03</v>
      </c>
      <c r="G69" s="165">
        <f>VLOOKUP($D$2:$D$273,Varelager!$A$2:$D$31,3)</f>
        <v>12.18</v>
      </c>
      <c r="H69" s="166">
        <f t="shared" si="4"/>
        <v>18477.060000000001</v>
      </c>
      <c r="I69" s="18">
        <f t="shared" si="5"/>
        <v>2004</v>
      </c>
      <c r="J69" s="18">
        <f t="shared" si="6"/>
        <v>5</v>
      </c>
      <c r="K69" s="166">
        <f t="shared" si="7"/>
        <v>2</v>
      </c>
    </row>
    <row r="70" spans="1:11" x14ac:dyDescent="0.2">
      <c r="A70" s="8">
        <v>5000</v>
      </c>
      <c r="B70" s="4">
        <v>1</v>
      </c>
      <c r="C70" s="3">
        <v>38045</v>
      </c>
      <c r="D70" t="s">
        <v>69</v>
      </c>
      <c r="E70" s="6">
        <v>1024</v>
      </c>
      <c r="F70" s="165">
        <f>VLOOKUP($D$2:$D$273,Varelager!$A$2:$D$31,4)</f>
        <v>30.002954638333001</v>
      </c>
      <c r="G70" s="165">
        <f>VLOOKUP($D$2:$D$273,Varelager!$A$2:$D$31,3)</f>
        <v>35</v>
      </c>
      <c r="H70" s="166">
        <f t="shared" si="4"/>
        <v>35840</v>
      </c>
      <c r="I70" s="18">
        <f t="shared" si="5"/>
        <v>2004</v>
      </c>
      <c r="J70" s="18">
        <f t="shared" si="6"/>
        <v>2</v>
      </c>
      <c r="K70" s="166">
        <f t="shared" si="7"/>
        <v>1</v>
      </c>
    </row>
    <row r="71" spans="1:11" x14ac:dyDescent="0.2">
      <c r="A71" s="8">
        <v>5000</v>
      </c>
      <c r="B71" s="4">
        <v>2</v>
      </c>
      <c r="C71" s="3">
        <v>38045</v>
      </c>
      <c r="D71" t="s">
        <v>70</v>
      </c>
      <c r="E71" s="6">
        <v>1344</v>
      </c>
      <c r="F71" s="165">
        <f>VLOOKUP($D$2:$D$273,Varelager!$A$2:$D$31,4)</f>
        <v>6.03</v>
      </c>
      <c r="G71" s="165">
        <f>VLOOKUP($D$2:$D$273,Varelager!$A$2:$D$31,3)</f>
        <v>12.18</v>
      </c>
      <c r="H71" s="166">
        <f t="shared" si="4"/>
        <v>16369.92</v>
      </c>
      <c r="I71" s="18">
        <f t="shared" si="5"/>
        <v>2004</v>
      </c>
      <c r="J71" s="18">
        <f t="shared" si="6"/>
        <v>2</v>
      </c>
      <c r="K71" s="166">
        <f t="shared" si="7"/>
        <v>1</v>
      </c>
    </row>
    <row r="72" spans="1:11" x14ac:dyDescent="0.2">
      <c r="A72" s="8">
        <v>5000</v>
      </c>
      <c r="B72" s="4">
        <v>3</v>
      </c>
      <c r="C72" s="3">
        <v>38045</v>
      </c>
      <c r="D72" t="s">
        <v>71</v>
      </c>
      <c r="E72" s="6">
        <v>521</v>
      </c>
      <c r="F72" s="165">
        <f>VLOOKUP($D$2:$D$273,Varelager!$A$2:$D$31,4)</f>
        <v>7.52</v>
      </c>
      <c r="G72" s="165">
        <f>VLOOKUP($D$2:$D$273,Varelager!$A$2:$D$31,3)</f>
        <v>16.940000000000001</v>
      </c>
      <c r="H72" s="166">
        <f t="shared" si="4"/>
        <v>8825.74</v>
      </c>
      <c r="I72" s="18">
        <f t="shared" si="5"/>
        <v>2004</v>
      </c>
      <c r="J72" s="18">
        <f t="shared" si="6"/>
        <v>2</v>
      </c>
      <c r="K72" s="166">
        <f t="shared" si="7"/>
        <v>1</v>
      </c>
    </row>
    <row r="73" spans="1:11" x14ac:dyDescent="0.2">
      <c r="A73" s="8">
        <v>5000</v>
      </c>
      <c r="B73" s="4">
        <v>5</v>
      </c>
      <c r="C73" s="3">
        <v>38045</v>
      </c>
      <c r="D73" t="s">
        <v>71</v>
      </c>
      <c r="E73" s="6">
        <v>1816</v>
      </c>
      <c r="F73" s="165">
        <f>VLOOKUP($D$2:$D$273,Varelager!$A$2:$D$31,4)</f>
        <v>7.52</v>
      </c>
      <c r="G73" s="165">
        <f>VLOOKUP($D$2:$D$273,Varelager!$A$2:$D$31,3)</f>
        <v>16.940000000000001</v>
      </c>
      <c r="H73" s="166">
        <f t="shared" si="4"/>
        <v>30763.040000000001</v>
      </c>
      <c r="I73" s="18">
        <f t="shared" si="5"/>
        <v>2004</v>
      </c>
      <c r="J73" s="18">
        <f t="shared" si="6"/>
        <v>2</v>
      </c>
      <c r="K73" s="166">
        <f t="shared" si="7"/>
        <v>1</v>
      </c>
    </row>
    <row r="74" spans="1:11" x14ac:dyDescent="0.2">
      <c r="A74" s="8">
        <v>5248</v>
      </c>
      <c r="B74" s="4">
        <v>1</v>
      </c>
      <c r="C74" s="3">
        <v>38801</v>
      </c>
      <c r="D74" t="s">
        <v>71</v>
      </c>
      <c r="E74" s="6">
        <v>5000</v>
      </c>
      <c r="F74" s="165">
        <f>VLOOKUP($D$2:$D$273,Varelager!$A$2:$D$31,4)</f>
        <v>7.52</v>
      </c>
      <c r="G74" s="165">
        <f>VLOOKUP($D$2:$D$273,Varelager!$A$2:$D$31,3)</f>
        <v>16.940000000000001</v>
      </c>
      <c r="H74" s="166">
        <f t="shared" si="4"/>
        <v>84700</v>
      </c>
      <c r="I74" s="18">
        <f t="shared" si="5"/>
        <v>2006</v>
      </c>
      <c r="J74" s="18">
        <f t="shared" si="6"/>
        <v>3</v>
      </c>
      <c r="K74" s="166">
        <f t="shared" si="7"/>
        <v>1</v>
      </c>
    </row>
    <row r="75" spans="1:11" x14ac:dyDescent="0.2">
      <c r="A75" s="8">
        <v>5248</v>
      </c>
      <c r="B75" s="4">
        <v>2</v>
      </c>
      <c r="C75" s="3">
        <v>38801</v>
      </c>
      <c r="D75" t="s">
        <v>70</v>
      </c>
      <c r="E75" s="6">
        <v>1000</v>
      </c>
      <c r="F75" s="165">
        <f>VLOOKUP($D$2:$D$273,Varelager!$A$2:$D$31,4)</f>
        <v>6.03</v>
      </c>
      <c r="G75" s="165">
        <f>VLOOKUP($D$2:$D$273,Varelager!$A$2:$D$31,3)</f>
        <v>12.18</v>
      </c>
      <c r="H75" s="166">
        <f t="shared" si="4"/>
        <v>12180</v>
      </c>
      <c r="I75" s="18">
        <f t="shared" si="5"/>
        <v>2006</v>
      </c>
      <c r="J75" s="18">
        <f t="shared" si="6"/>
        <v>3</v>
      </c>
      <c r="K75" s="166">
        <f t="shared" si="7"/>
        <v>1</v>
      </c>
    </row>
    <row r="76" spans="1:11" x14ac:dyDescent="0.2">
      <c r="A76" s="8">
        <v>5248</v>
      </c>
      <c r="B76" s="4">
        <v>3</v>
      </c>
      <c r="C76" s="3">
        <v>38801</v>
      </c>
      <c r="D76" t="s">
        <v>76</v>
      </c>
      <c r="E76" s="6">
        <v>2000</v>
      </c>
      <c r="F76" s="165">
        <f>VLOOKUP($D$2:$D$273,Varelager!$A$2:$D$31,4)</f>
        <v>5.004390986602</v>
      </c>
      <c r="G76" s="165">
        <f>VLOOKUP($D$2:$D$273,Varelager!$A$2:$D$31,3)</f>
        <v>10</v>
      </c>
      <c r="H76" s="166">
        <f t="shared" si="4"/>
        <v>20000</v>
      </c>
      <c r="I76" s="18">
        <f t="shared" si="5"/>
        <v>2006</v>
      </c>
      <c r="J76" s="18">
        <f t="shared" si="6"/>
        <v>3</v>
      </c>
      <c r="K76" s="166">
        <f t="shared" si="7"/>
        <v>1</v>
      </c>
    </row>
    <row r="77" spans="1:11" x14ac:dyDescent="0.2">
      <c r="A77" s="8">
        <v>5248</v>
      </c>
      <c r="B77" s="4">
        <v>4</v>
      </c>
      <c r="C77" s="3">
        <v>38801</v>
      </c>
      <c r="D77" t="s">
        <v>77</v>
      </c>
      <c r="E77" s="6">
        <v>1500</v>
      </c>
      <c r="F77" s="165">
        <f>VLOOKUP($D$2:$D$273,Varelager!$A$2:$D$31,4)</f>
        <v>6.26</v>
      </c>
      <c r="G77" s="165">
        <f>VLOOKUP($D$2:$D$273,Varelager!$A$2:$D$31,3)</f>
        <v>12.18</v>
      </c>
      <c r="H77" s="166">
        <f t="shared" si="4"/>
        <v>18270</v>
      </c>
      <c r="I77" s="18">
        <f t="shared" si="5"/>
        <v>2006</v>
      </c>
      <c r="J77" s="18">
        <f t="shared" si="6"/>
        <v>3</v>
      </c>
      <c r="K77" s="166">
        <f t="shared" si="7"/>
        <v>1</v>
      </c>
    </row>
    <row r="78" spans="1:11" x14ac:dyDescent="0.2">
      <c r="A78" s="8">
        <v>5248</v>
      </c>
      <c r="B78" s="4">
        <v>5</v>
      </c>
      <c r="C78" s="3">
        <v>38801</v>
      </c>
      <c r="D78" t="s">
        <v>80</v>
      </c>
      <c r="E78" s="6">
        <v>5000</v>
      </c>
      <c r="F78" s="165">
        <f>VLOOKUP($D$2:$D$273,Varelager!$A$2:$D$31,4)</f>
        <v>8.7344200000000001</v>
      </c>
      <c r="G78" s="165">
        <f>VLOOKUP($D$2:$D$273,Varelager!$A$2:$D$31,3)</f>
        <v>14.63</v>
      </c>
      <c r="H78" s="166">
        <f t="shared" si="4"/>
        <v>73150</v>
      </c>
      <c r="I78" s="18">
        <f t="shared" si="5"/>
        <v>2006</v>
      </c>
      <c r="J78" s="18">
        <f t="shared" si="6"/>
        <v>3</v>
      </c>
      <c r="K78" s="166">
        <f t="shared" si="7"/>
        <v>1</v>
      </c>
    </row>
    <row r="79" spans="1:11" x14ac:dyDescent="0.2">
      <c r="A79" s="8">
        <v>5222</v>
      </c>
      <c r="B79" s="4">
        <v>3</v>
      </c>
      <c r="C79" s="3">
        <v>38960</v>
      </c>
      <c r="D79" t="s">
        <v>76</v>
      </c>
      <c r="E79" s="6">
        <v>1686</v>
      </c>
      <c r="F79" s="165">
        <f>VLOOKUP($D$2:$D$273,Varelager!$A$2:$D$31,4)</f>
        <v>5.004390986602</v>
      </c>
      <c r="G79" s="165">
        <f>VLOOKUP($D$2:$D$273,Varelager!$A$2:$D$31,3)</f>
        <v>10</v>
      </c>
      <c r="H79" s="166">
        <f t="shared" si="4"/>
        <v>16860</v>
      </c>
      <c r="I79" s="18">
        <f t="shared" si="5"/>
        <v>2006</v>
      </c>
      <c r="J79" s="18">
        <f t="shared" si="6"/>
        <v>8</v>
      </c>
      <c r="K79" s="166">
        <f t="shared" si="7"/>
        <v>3</v>
      </c>
    </row>
    <row r="80" spans="1:11" x14ac:dyDescent="0.2">
      <c r="A80" s="8">
        <v>5187</v>
      </c>
      <c r="B80" s="4">
        <v>1</v>
      </c>
      <c r="C80" s="3">
        <v>38595</v>
      </c>
      <c r="D80" t="s">
        <v>82</v>
      </c>
      <c r="E80" s="6">
        <v>1517</v>
      </c>
      <c r="F80" s="165">
        <f>VLOOKUP($D$2:$D$273,Varelager!$A$2:$D$31,4)</f>
        <v>1.5080640000000001</v>
      </c>
      <c r="G80" s="165">
        <f>VLOOKUP($D$2:$D$273,Varelager!$A$2:$D$31,3)</f>
        <v>3</v>
      </c>
      <c r="H80" s="166">
        <f t="shared" si="4"/>
        <v>4551</v>
      </c>
      <c r="I80" s="18">
        <f t="shared" si="5"/>
        <v>2005</v>
      </c>
      <c r="J80" s="18">
        <f t="shared" si="6"/>
        <v>8</v>
      </c>
      <c r="K80" s="166">
        <f t="shared" si="7"/>
        <v>3</v>
      </c>
    </row>
    <row r="81" spans="1:11" x14ac:dyDescent="0.2">
      <c r="A81" s="8">
        <v>5187</v>
      </c>
      <c r="B81" s="4">
        <v>2</v>
      </c>
      <c r="C81" s="3">
        <v>38595</v>
      </c>
      <c r="D81" t="s">
        <v>69</v>
      </c>
      <c r="E81" s="6">
        <v>544</v>
      </c>
      <c r="F81" s="165">
        <f>VLOOKUP($D$2:$D$273,Varelager!$A$2:$D$31,4)</f>
        <v>30.002954638333001</v>
      </c>
      <c r="G81" s="165">
        <f>VLOOKUP($D$2:$D$273,Varelager!$A$2:$D$31,3)</f>
        <v>35</v>
      </c>
      <c r="H81" s="166">
        <f t="shared" si="4"/>
        <v>19040</v>
      </c>
      <c r="I81" s="18">
        <f t="shared" si="5"/>
        <v>2005</v>
      </c>
      <c r="J81" s="18">
        <f t="shared" si="6"/>
        <v>8</v>
      </c>
      <c r="K81" s="166">
        <f t="shared" si="7"/>
        <v>3</v>
      </c>
    </row>
    <row r="82" spans="1:11" x14ac:dyDescent="0.2">
      <c r="A82" s="8">
        <v>5143</v>
      </c>
      <c r="B82" s="4">
        <v>2</v>
      </c>
      <c r="C82" s="3">
        <v>38442</v>
      </c>
      <c r="D82" t="s">
        <v>69</v>
      </c>
      <c r="E82" s="6">
        <v>986</v>
      </c>
      <c r="F82" s="165">
        <f>VLOOKUP($D$2:$D$273,Varelager!$A$2:$D$31,4)</f>
        <v>30.002954638333001</v>
      </c>
      <c r="G82" s="165">
        <f>VLOOKUP($D$2:$D$273,Varelager!$A$2:$D$31,3)</f>
        <v>35</v>
      </c>
      <c r="H82" s="166">
        <f t="shared" si="4"/>
        <v>34510</v>
      </c>
      <c r="I82" s="18">
        <f t="shared" si="5"/>
        <v>2005</v>
      </c>
      <c r="J82" s="18">
        <f t="shared" si="6"/>
        <v>3</v>
      </c>
      <c r="K82" s="166">
        <f t="shared" si="7"/>
        <v>1</v>
      </c>
    </row>
    <row r="83" spans="1:11" x14ac:dyDescent="0.2">
      <c r="A83" s="8">
        <v>5143</v>
      </c>
      <c r="B83" s="4">
        <v>3</v>
      </c>
      <c r="C83" s="3">
        <v>38442</v>
      </c>
      <c r="D83" t="s">
        <v>82</v>
      </c>
      <c r="E83" s="6">
        <v>1512</v>
      </c>
      <c r="F83" s="165">
        <f>VLOOKUP($D$2:$D$273,Varelager!$A$2:$D$31,4)</f>
        <v>1.5080640000000001</v>
      </c>
      <c r="G83" s="165">
        <f>VLOOKUP($D$2:$D$273,Varelager!$A$2:$D$31,3)</f>
        <v>3</v>
      </c>
      <c r="H83" s="166">
        <f t="shared" si="4"/>
        <v>4536</v>
      </c>
      <c r="I83" s="18">
        <f t="shared" si="5"/>
        <v>2005</v>
      </c>
      <c r="J83" s="18">
        <f t="shared" si="6"/>
        <v>3</v>
      </c>
      <c r="K83" s="166">
        <f t="shared" si="7"/>
        <v>1</v>
      </c>
    </row>
    <row r="84" spans="1:11" x14ac:dyDescent="0.2">
      <c r="A84" s="8">
        <v>5143</v>
      </c>
      <c r="B84" s="4">
        <v>4</v>
      </c>
      <c r="C84" s="3">
        <v>38442</v>
      </c>
      <c r="D84" t="s">
        <v>76</v>
      </c>
      <c r="E84" s="6">
        <v>440</v>
      </c>
      <c r="F84" s="165">
        <f>VLOOKUP($D$2:$D$273,Varelager!$A$2:$D$31,4)</f>
        <v>5.004390986602</v>
      </c>
      <c r="G84" s="165">
        <f>VLOOKUP($D$2:$D$273,Varelager!$A$2:$D$31,3)</f>
        <v>10</v>
      </c>
      <c r="H84" s="166">
        <f t="shared" si="4"/>
        <v>4400</v>
      </c>
      <c r="I84" s="18">
        <f t="shared" si="5"/>
        <v>2005</v>
      </c>
      <c r="J84" s="18">
        <f t="shared" si="6"/>
        <v>3</v>
      </c>
      <c r="K84" s="166">
        <f t="shared" si="7"/>
        <v>1</v>
      </c>
    </row>
    <row r="85" spans="1:11" x14ac:dyDescent="0.2">
      <c r="A85" s="8">
        <v>5143</v>
      </c>
      <c r="B85" s="4">
        <v>5</v>
      </c>
      <c r="C85" s="3">
        <v>38442</v>
      </c>
      <c r="D85" t="s">
        <v>70</v>
      </c>
      <c r="E85" s="6">
        <v>106</v>
      </c>
      <c r="F85" s="165">
        <f>VLOOKUP($D$2:$D$273,Varelager!$A$2:$D$31,4)</f>
        <v>6.03</v>
      </c>
      <c r="G85" s="165">
        <f>VLOOKUP($D$2:$D$273,Varelager!$A$2:$D$31,3)</f>
        <v>12.18</v>
      </c>
      <c r="H85" s="166">
        <f t="shared" si="4"/>
        <v>1291.08</v>
      </c>
      <c r="I85" s="18">
        <f t="shared" si="5"/>
        <v>2005</v>
      </c>
      <c r="J85" s="18">
        <f t="shared" si="6"/>
        <v>3</v>
      </c>
      <c r="K85" s="166">
        <f t="shared" si="7"/>
        <v>1</v>
      </c>
    </row>
    <row r="86" spans="1:11" x14ac:dyDescent="0.2">
      <c r="A86" s="8">
        <v>5143</v>
      </c>
      <c r="B86" s="4">
        <v>6</v>
      </c>
      <c r="C86" s="3">
        <v>38442</v>
      </c>
      <c r="D86" t="s">
        <v>77</v>
      </c>
      <c r="E86" s="6">
        <v>1090</v>
      </c>
      <c r="F86" s="165">
        <f>VLOOKUP($D$2:$D$273,Varelager!$A$2:$D$31,4)</f>
        <v>6.26</v>
      </c>
      <c r="G86" s="165">
        <f>VLOOKUP($D$2:$D$273,Varelager!$A$2:$D$31,3)</f>
        <v>12.18</v>
      </c>
      <c r="H86" s="166">
        <f t="shared" si="4"/>
        <v>13276.199999999999</v>
      </c>
      <c r="I86" s="18">
        <f t="shared" si="5"/>
        <v>2005</v>
      </c>
      <c r="J86" s="18">
        <f t="shared" si="6"/>
        <v>3</v>
      </c>
      <c r="K86" s="166">
        <f t="shared" si="7"/>
        <v>1</v>
      </c>
    </row>
    <row r="87" spans="1:11" x14ac:dyDescent="0.2">
      <c r="A87" s="8">
        <v>5123</v>
      </c>
      <c r="B87" s="4">
        <v>1</v>
      </c>
      <c r="C87" s="3">
        <v>38383</v>
      </c>
      <c r="D87" t="s">
        <v>80</v>
      </c>
      <c r="E87" s="6">
        <v>1154</v>
      </c>
      <c r="F87" s="165">
        <f>VLOOKUP($D$2:$D$273,Varelager!$A$2:$D$31,4)</f>
        <v>8.7344200000000001</v>
      </c>
      <c r="G87" s="165">
        <f>VLOOKUP($D$2:$D$273,Varelager!$A$2:$D$31,3)</f>
        <v>14.63</v>
      </c>
      <c r="H87" s="166">
        <f t="shared" si="4"/>
        <v>16883.02</v>
      </c>
      <c r="I87" s="18">
        <f t="shared" si="5"/>
        <v>2005</v>
      </c>
      <c r="J87" s="18">
        <f t="shared" si="6"/>
        <v>1</v>
      </c>
      <c r="K87" s="166">
        <f t="shared" si="7"/>
        <v>1</v>
      </c>
    </row>
    <row r="88" spans="1:11" x14ac:dyDescent="0.2">
      <c r="A88" s="8">
        <v>5123</v>
      </c>
      <c r="B88" s="4">
        <v>2</v>
      </c>
      <c r="C88" s="3">
        <v>38383</v>
      </c>
      <c r="D88" t="s">
        <v>70</v>
      </c>
      <c r="E88" s="6">
        <v>1865</v>
      </c>
      <c r="F88" s="165">
        <f>VLOOKUP($D$2:$D$273,Varelager!$A$2:$D$31,4)</f>
        <v>6.03</v>
      </c>
      <c r="G88" s="165">
        <f>VLOOKUP($D$2:$D$273,Varelager!$A$2:$D$31,3)</f>
        <v>12.18</v>
      </c>
      <c r="H88" s="166">
        <f t="shared" si="4"/>
        <v>22715.7</v>
      </c>
      <c r="I88" s="18">
        <f t="shared" si="5"/>
        <v>2005</v>
      </c>
      <c r="J88" s="18">
        <f t="shared" si="6"/>
        <v>1</v>
      </c>
      <c r="K88" s="166">
        <f t="shared" si="7"/>
        <v>1</v>
      </c>
    </row>
    <row r="89" spans="1:11" x14ac:dyDescent="0.2">
      <c r="A89" s="8">
        <v>5123</v>
      </c>
      <c r="B89" s="4">
        <v>3</v>
      </c>
      <c r="C89" s="3">
        <v>38383</v>
      </c>
      <c r="D89" t="s">
        <v>82</v>
      </c>
      <c r="E89" s="6">
        <v>1434</v>
      </c>
      <c r="F89" s="165">
        <f>VLOOKUP($D$2:$D$273,Varelager!$A$2:$D$31,4)</f>
        <v>1.5080640000000001</v>
      </c>
      <c r="G89" s="165">
        <f>VLOOKUP($D$2:$D$273,Varelager!$A$2:$D$31,3)</f>
        <v>3</v>
      </c>
      <c r="H89" s="166">
        <f t="shared" si="4"/>
        <v>4302</v>
      </c>
      <c r="I89" s="18">
        <f t="shared" si="5"/>
        <v>2005</v>
      </c>
      <c r="J89" s="18">
        <f t="shared" si="6"/>
        <v>1</v>
      </c>
      <c r="K89" s="166">
        <f t="shared" si="7"/>
        <v>1</v>
      </c>
    </row>
    <row r="90" spans="1:11" x14ac:dyDescent="0.2">
      <c r="A90" s="8">
        <v>5120</v>
      </c>
      <c r="B90" s="4">
        <v>1</v>
      </c>
      <c r="C90" s="3">
        <v>38383</v>
      </c>
      <c r="D90" t="s">
        <v>80</v>
      </c>
      <c r="E90" s="6">
        <v>1986</v>
      </c>
      <c r="F90" s="165">
        <f>VLOOKUP($D$2:$D$273,Varelager!$A$2:$D$31,4)</f>
        <v>8.7344200000000001</v>
      </c>
      <c r="G90" s="165">
        <f>VLOOKUP($D$2:$D$273,Varelager!$A$2:$D$31,3)</f>
        <v>14.63</v>
      </c>
      <c r="H90" s="166">
        <f t="shared" si="4"/>
        <v>29055.18</v>
      </c>
      <c r="I90" s="18">
        <f t="shared" si="5"/>
        <v>2005</v>
      </c>
      <c r="J90" s="18">
        <f t="shared" si="6"/>
        <v>1</v>
      </c>
      <c r="K90" s="166">
        <f t="shared" si="7"/>
        <v>1</v>
      </c>
    </row>
    <row r="91" spans="1:11" x14ac:dyDescent="0.2">
      <c r="A91" s="8">
        <v>5120</v>
      </c>
      <c r="B91" s="4">
        <v>2</v>
      </c>
      <c r="C91" s="3">
        <v>38383</v>
      </c>
      <c r="D91" t="s">
        <v>69</v>
      </c>
      <c r="E91" s="6">
        <v>1074</v>
      </c>
      <c r="F91" s="165">
        <f>VLOOKUP($D$2:$D$273,Varelager!$A$2:$D$31,4)</f>
        <v>30.002954638333001</v>
      </c>
      <c r="G91" s="165">
        <f>VLOOKUP($D$2:$D$273,Varelager!$A$2:$D$31,3)</f>
        <v>35</v>
      </c>
      <c r="H91" s="166">
        <f t="shared" si="4"/>
        <v>37590</v>
      </c>
      <c r="I91" s="18">
        <f t="shared" si="5"/>
        <v>2005</v>
      </c>
      <c r="J91" s="18">
        <f t="shared" si="6"/>
        <v>1</v>
      </c>
      <c r="K91" s="166">
        <f t="shared" si="7"/>
        <v>1</v>
      </c>
    </row>
    <row r="92" spans="1:11" x14ac:dyDescent="0.2">
      <c r="A92" s="8">
        <v>5120</v>
      </c>
      <c r="B92" s="4">
        <v>3</v>
      </c>
      <c r="C92" s="3">
        <v>38383</v>
      </c>
      <c r="D92" t="s">
        <v>70</v>
      </c>
      <c r="E92" s="6">
        <v>68</v>
      </c>
      <c r="F92" s="165">
        <f>VLOOKUP($D$2:$D$273,Varelager!$A$2:$D$31,4)</f>
        <v>6.03</v>
      </c>
      <c r="G92" s="165">
        <f>VLOOKUP($D$2:$D$273,Varelager!$A$2:$D$31,3)</f>
        <v>12.18</v>
      </c>
      <c r="H92" s="166">
        <f t="shared" si="4"/>
        <v>828.24</v>
      </c>
      <c r="I92" s="18">
        <f t="shared" si="5"/>
        <v>2005</v>
      </c>
      <c r="J92" s="18">
        <f t="shared" si="6"/>
        <v>1</v>
      </c>
      <c r="K92" s="166">
        <f t="shared" si="7"/>
        <v>1</v>
      </c>
    </row>
    <row r="93" spans="1:11" x14ac:dyDescent="0.2">
      <c r="A93" s="8">
        <v>5055</v>
      </c>
      <c r="B93" s="4">
        <v>4</v>
      </c>
      <c r="C93" s="3">
        <v>38199</v>
      </c>
      <c r="D93" t="s">
        <v>71</v>
      </c>
      <c r="E93" s="6">
        <v>103</v>
      </c>
      <c r="F93" s="165">
        <f>VLOOKUP($D$2:$D$273,Varelager!$A$2:$D$31,4)</f>
        <v>7.52</v>
      </c>
      <c r="G93" s="165">
        <f>VLOOKUP($D$2:$D$273,Varelager!$A$2:$D$31,3)</f>
        <v>16.940000000000001</v>
      </c>
      <c r="H93" s="166">
        <f t="shared" si="4"/>
        <v>1744.8200000000002</v>
      </c>
      <c r="I93" s="18">
        <f t="shared" si="5"/>
        <v>2004</v>
      </c>
      <c r="J93" s="18">
        <f t="shared" si="6"/>
        <v>7</v>
      </c>
      <c r="K93" s="166">
        <f t="shared" si="7"/>
        <v>3</v>
      </c>
    </row>
    <row r="94" spans="1:11" x14ac:dyDescent="0.2">
      <c r="A94" s="8">
        <v>5055</v>
      </c>
      <c r="B94" s="4">
        <v>6</v>
      </c>
      <c r="C94" s="3">
        <v>38199</v>
      </c>
      <c r="D94" t="s">
        <v>69</v>
      </c>
      <c r="E94" s="6">
        <v>1609</v>
      </c>
      <c r="F94" s="165">
        <f>VLOOKUP($D$2:$D$273,Varelager!$A$2:$D$31,4)</f>
        <v>30.002954638333001</v>
      </c>
      <c r="G94" s="165">
        <f>VLOOKUP($D$2:$D$273,Varelager!$A$2:$D$31,3)</f>
        <v>35</v>
      </c>
      <c r="H94" s="166">
        <f t="shared" si="4"/>
        <v>56315</v>
      </c>
      <c r="I94" s="18">
        <f t="shared" si="5"/>
        <v>2004</v>
      </c>
      <c r="J94" s="18">
        <f t="shared" si="6"/>
        <v>7</v>
      </c>
      <c r="K94" s="166">
        <f t="shared" si="7"/>
        <v>3</v>
      </c>
    </row>
    <row r="95" spans="1:11" x14ac:dyDescent="0.2">
      <c r="A95" s="8">
        <v>5037</v>
      </c>
      <c r="B95" s="4">
        <v>1</v>
      </c>
      <c r="C95" s="3">
        <v>38138</v>
      </c>
      <c r="D95" t="s">
        <v>80</v>
      </c>
      <c r="E95" s="6">
        <v>1066</v>
      </c>
      <c r="F95" s="165">
        <f>VLOOKUP($D$2:$D$273,Varelager!$A$2:$D$31,4)</f>
        <v>8.7344200000000001</v>
      </c>
      <c r="G95" s="165">
        <f>VLOOKUP($D$2:$D$273,Varelager!$A$2:$D$31,3)</f>
        <v>14.63</v>
      </c>
      <c r="H95" s="166">
        <f t="shared" si="4"/>
        <v>15595.58</v>
      </c>
      <c r="I95" s="18">
        <f t="shared" si="5"/>
        <v>2004</v>
      </c>
      <c r="J95" s="18">
        <f t="shared" si="6"/>
        <v>5</v>
      </c>
      <c r="K95" s="166">
        <f t="shared" si="7"/>
        <v>2</v>
      </c>
    </row>
    <row r="96" spans="1:11" x14ac:dyDescent="0.2">
      <c r="A96" s="8">
        <v>5037</v>
      </c>
      <c r="B96" s="4">
        <v>2</v>
      </c>
      <c r="C96" s="3">
        <v>38138</v>
      </c>
      <c r="D96" t="s">
        <v>82</v>
      </c>
      <c r="E96" s="6">
        <v>1002</v>
      </c>
      <c r="F96" s="165">
        <f>VLOOKUP($D$2:$D$273,Varelager!$A$2:$D$31,4)</f>
        <v>1.5080640000000001</v>
      </c>
      <c r="G96" s="165">
        <f>VLOOKUP($D$2:$D$273,Varelager!$A$2:$D$31,3)</f>
        <v>3</v>
      </c>
      <c r="H96" s="166">
        <f t="shared" si="4"/>
        <v>3006</v>
      </c>
      <c r="I96" s="18">
        <f t="shared" si="5"/>
        <v>2004</v>
      </c>
      <c r="J96" s="18">
        <f t="shared" si="6"/>
        <v>5</v>
      </c>
      <c r="K96" s="166">
        <f t="shared" si="7"/>
        <v>2</v>
      </c>
    </row>
    <row r="97" spans="1:11" x14ac:dyDescent="0.2">
      <c r="A97" s="8">
        <v>5037</v>
      </c>
      <c r="B97" s="4">
        <v>3</v>
      </c>
      <c r="C97" s="3">
        <v>38138</v>
      </c>
      <c r="D97" t="s">
        <v>80</v>
      </c>
      <c r="E97" s="6">
        <v>1171</v>
      </c>
      <c r="F97" s="165">
        <f>VLOOKUP($D$2:$D$273,Varelager!$A$2:$D$31,4)</f>
        <v>8.7344200000000001</v>
      </c>
      <c r="G97" s="165">
        <f>VLOOKUP($D$2:$D$273,Varelager!$A$2:$D$31,3)</f>
        <v>14.63</v>
      </c>
      <c r="H97" s="166">
        <f t="shared" si="4"/>
        <v>17131.73</v>
      </c>
      <c r="I97" s="18">
        <f t="shared" si="5"/>
        <v>2004</v>
      </c>
      <c r="J97" s="18">
        <f t="shared" si="6"/>
        <v>5</v>
      </c>
      <c r="K97" s="166">
        <f t="shared" si="7"/>
        <v>2</v>
      </c>
    </row>
    <row r="98" spans="1:11" x14ac:dyDescent="0.2">
      <c r="A98" s="8">
        <v>5024</v>
      </c>
      <c r="B98" s="4">
        <v>1</v>
      </c>
      <c r="C98" s="3">
        <v>38107</v>
      </c>
      <c r="D98" t="s">
        <v>77</v>
      </c>
      <c r="E98" s="6">
        <v>236</v>
      </c>
      <c r="F98" s="165">
        <f>VLOOKUP($D$2:$D$273,Varelager!$A$2:$D$31,4)</f>
        <v>6.26</v>
      </c>
      <c r="G98" s="165">
        <f>VLOOKUP($D$2:$D$273,Varelager!$A$2:$D$31,3)</f>
        <v>12.18</v>
      </c>
      <c r="H98" s="166">
        <f t="shared" si="4"/>
        <v>2874.48</v>
      </c>
      <c r="I98" s="18">
        <f t="shared" si="5"/>
        <v>2004</v>
      </c>
      <c r="J98" s="18">
        <f t="shared" si="6"/>
        <v>4</v>
      </c>
      <c r="K98" s="166">
        <f t="shared" si="7"/>
        <v>2</v>
      </c>
    </row>
    <row r="99" spans="1:11" x14ac:dyDescent="0.2">
      <c r="A99" s="8">
        <v>5024</v>
      </c>
      <c r="B99" s="4">
        <v>2</v>
      </c>
      <c r="C99" s="3">
        <v>38107</v>
      </c>
      <c r="D99" t="s">
        <v>77</v>
      </c>
      <c r="E99" s="6">
        <v>1929</v>
      </c>
      <c r="F99" s="165">
        <f>VLOOKUP($D$2:$D$273,Varelager!$A$2:$D$31,4)</f>
        <v>6.26</v>
      </c>
      <c r="G99" s="165">
        <f>VLOOKUP($D$2:$D$273,Varelager!$A$2:$D$31,3)</f>
        <v>12.18</v>
      </c>
      <c r="H99" s="166">
        <f t="shared" si="4"/>
        <v>23495.22</v>
      </c>
      <c r="I99" s="18">
        <f t="shared" si="5"/>
        <v>2004</v>
      </c>
      <c r="J99" s="18">
        <f t="shared" si="6"/>
        <v>4</v>
      </c>
      <c r="K99" s="166">
        <f t="shared" si="7"/>
        <v>2</v>
      </c>
    </row>
    <row r="100" spans="1:11" x14ac:dyDescent="0.2">
      <c r="A100" s="8">
        <v>5024</v>
      </c>
      <c r="B100" s="4">
        <v>3</v>
      </c>
      <c r="C100" s="3">
        <v>38107</v>
      </c>
      <c r="D100" t="s">
        <v>76</v>
      </c>
      <c r="E100" s="6">
        <v>1542</v>
      </c>
      <c r="F100" s="165">
        <f>VLOOKUP($D$2:$D$273,Varelager!$A$2:$D$31,4)</f>
        <v>5.004390986602</v>
      </c>
      <c r="G100" s="165">
        <f>VLOOKUP($D$2:$D$273,Varelager!$A$2:$D$31,3)</f>
        <v>10</v>
      </c>
      <c r="H100" s="166">
        <f t="shared" si="4"/>
        <v>15420</v>
      </c>
      <c r="I100" s="18">
        <f t="shared" si="5"/>
        <v>2004</v>
      </c>
      <c r="J100" s="18">
        <f t="shared" si="6"/>
        <v>4</v>
      </c>
      <c r="K100" s="166">
        <f t="shared" si="7"/>
        <v>2</v>
      </c>
    </row>
    <row r="101" spans="1:11" x14ac:dyDescent="0.2">
      <c r="A101" s="8">
        <v>5023</v>
      </c>
      <c r="B101" s="4">
        <v>3</v>
      </c>
      <c r="C101" s="3">
        <v>38107</v>
      </c>
      <c r="D101" t="s">
        <v>77</v>
      </c>
      <c r="E101" s="6">
        <v>1954</v>
      </c>
      <c r="F101" s="165">
        <f>VLOOKUP($D$2:$D$273,Varelager!$A$2:$D$31,4)</f>
        <v>6.26</v>
      </c>
      <c r="G101" s="165">
        <f>VLOOKUP($D$2:$D$273,Varelager!$A$2:$D$31,3)</f>
        <v>12.18</v>
      </c>
      <c r="H101" s="166">
        <f t="shared" si="4"/>
        <v>23799.72</v>
      </c>
      <c r="I101" s="18">
        <f t="shared" si="5"/>
        <v>2004</v>
      </c>
      <c r="J101" s="18">
        <f t="shared" si="6"/>
        <v>4</v>
      </c>
      <c r="K101" s="166">
        <f t="shared" si="7"/>
        <v>2</v>
      </c>
    </row>
    <row r="102" spans="1:11" x14ac:dyDescent="0.2">
      <c r="A102" s="8">
        <v>5023</v>
      </c>
      <c r="B102" s="4">
        <v>4</v>
      </c>
      <c r="C102" s="3">
        <v>38107</v>
      </c>
      <c r="D102" t="s">
        <v>76</v>
      </c>
      <c r="E102" s="6">
        <v>1408</v>
      </c>
      <c r="F102" s="165">
        <f>VLOOKUP($D$2:$D$273,Varelager!$A$2:$D$31,4)</f>
        <v>5.004390986602</v>
      </c>
      <c r="G102" s="165">
        <f>VLOOKUP($D$2:$D$273,Varelager!$A$2:$D$31,3)</f>
        <v>10</v>
      </c>
      <c r="H102" s="166">
        <f t="shared" si="4"/>
        <v>14080</v>
      </c>
      <c r="I102" s="18">
        <f t="shared" si="5"/>
        <v>2004</v>
      </c>
      <c r="J102" s="18">
        <f t="shared" si="6"/>
        <v>4</v>
      </c>
      <c r="K102" s="166">
        <f t="shared" si="7"/>
        <v>2</v>
      </c>
    </row>
    <row r="103" spans="1:11" x14ac:dyDescent="0.2">
      <c r="A103" s="8">
        <v>5023</v>
      </c>
      <c r="B103" s="4">
        <v>5</v>
      </c>
      <c r="C103" s="3">
        <v>38107</v>
      </c>
      <c r="D103" t="s">
        <v>82</v>
      </c>
      <c r="E103" s="6">
        <v>800</v>
      </c>
      <c r="F103" s="165">
        <f>VLOOKUP($D$2:$D$273,Varelager!$A$2:$D$31,4)</f>
        <v>1.5080640000000001</v>
      </c>
      <c r="G103" s="165">
        <f>VLOOKUP($D$2:$D$273,Varelager!$A$2:$D$31,3)</f>
        <v>3</v>
      </c>
      <c r="H103" s="166">
        <f t="shared" si="4"/>
        <v>2400</v>
      </c>
      <c r="I103" s="18">
        <f t="shared" si="5"/>
        <v>2004</v>
      </c>
      <c r="J103" s="18">
        <f t="shared" si="6"/>
        <v>4</v>
      </c>
      <c r="K103" s="166">
        <f t="shared" si="7"/>
        <v>2</v>
      </c>
    </row>
    <row r="104" spans="1:11" x14ac:dyDescent="0.2">
      <c r="A104" s="8">
        <v>5013</v>
      </c>
      <c r="B104" s="4">
        <v>2</v>
      </c>
      <c r="C104" s="3">
        <v>38077</v>
      </c>
      <c r="D104" t="s">
        <v>71</v>
      </c>
      <c r="E104" s="6">
        <v>623</v>
      </c>
      <c r="F104" s="165">
        <f>VLOOKUP($D$2:$D$273,Varelager!$A$2:$D$31,4)</f>
        <v>7.52</v>
      </c>
      <c r="G104" s="165">
        <f>VLOOKUP($D$2:$D$273,Varelager!$A$2:$D$31,3)</f>
        <v>16.940000000000001</v>
      </c>
      <c r="H104" s="166">
        <f t="shared" si="4"/>
        <v>10553.62</v>
      </c>
      <c r="I104" s="18">
        <f t="shared" si="5"/>
        <v>2004</v>
      </c>
      <c r="J104" s="18">
        <f t="shared" si="6"/>
        <v>3</v>
      </c>
      <c r="K104" s="166">
        <f t="shared" si="7"/>
        <v>1</v>
      </c>
    </row>
    <row r="105" spans="1:11" x14ac:dyDescent="0.2">
      <c r="A105" s="8">
        <v>5013</v>
      </c>
      <c r="B105" s="4">
        <v>3</v>
      </c>
      <c r="C105" s="3">
        <v>38077</v>
      </c>
      <c r="D105" t="s">
        <v>69</v>
      </c>
      <c r="E105" s="6">
        <v>315</v>
      </c>
      <c r="F105" s="165">
        <f>VLOOKUP($D$2:$D$273,Varelager!$A$2:$D$31,4)</f>
        <v>30.002954638333001</v>
      </c>
      <c r="G105" s="165">
        <f>VLOOKUP($D$2:$D$273,Varelager!$A$2:$D$31,3)</f>
        <v>35</v>
      </c>
      <c r="H105" s="166">
        <f t="shared" si="4"/>
        <v>11025</v>
      </c>
      <c r="I105" s="18">
        <f t="shared" si="5"/>
        <v>2004</v>
      </c>
      <c r="J105" s="18">
        <f t="shared" si="6"/>
        <v>3</v>
      </c>
      <c r="K105" s="166">
        <f t="shared" si="7"/>
        <v>1</v>
      </c>
    </row>
    <row r="106" spans="1:11" x14ac:dyDescent="0.2">
      <c r="A106" s="8">
        <v>5013</v>
      </c>
      <c r="B106" s="4">
        <v>4</v>
      </c>
      <c r="C106" s="3">
        <v>38077</v>
      </c>
      <c r="D106" t="s">
        <v>80</v>
      </c>
      <c r="E106" s="6">
        <v>1392</v>
      </c>
      <c r="F106" s="165">
        <f>VLOOKUP($D$2:$D$273,Varelager!$A$2:$D$31,4)</f>
        <v>8.7344200000000001</v>
      </c>
      <c r="G106" s="165">
        <f>VLOOKUP($D$2:$D$273,Varelager!$A$2:$D$31,3)</f>
        <v>14.63</v>
      </c>
      <c r="H106" s="166">
        <f t="shared" si="4"/>
        <v>20364.960000000003</v>
      </c>
      <c r="I106" s="18">
        <f t="shared" si="5"/>
        <v>2004</v>
      </c>
      <c r="J106" s="18">
        <f t="shared" si="6"/>
        <v>3</v>
      </c>
      <c r="K106" s="166">
        <f t="shared" si="7"/>
        <v>1</v>
      </c>
    </row>
    <row r="107" spans="1:11" x14ac:dyDescent="0.2">
      <c r="A107" s="8">
        <v>5001</v>
      </c>
      <c r="B107" s="4">
        <v>1</v>
      </c>
      <c r="C107" s="3">
        <v>38045</v>
      </c>
      <c r="D107" t="s">
        <v>70</v>
      </c>
      <c r="E107" s="6">
        <v>786</v>
      </c>
      <c r="F107" s="165">
        <f>VLOOKUP($D$2:$D$273,Varelager!$A$2:$D$31,4)</f>
        <v>6.03</v>
      </c>
      <c r="G107" s="165">
        <f>VLOOKUP($D$2:$D$273,Varelager!$A$2:$D$31,3)</f>
        <v>12.18</v>
      </c>
      <c r="H107" s="166">
        <f t="shared" si="4"/>
        <v>9573.48</v>
      </c>
      <c r="I107" s="18">
        <f t="shared" si="5"/>
        <v>2004</v>
      </c>
      <c r="J107" s="18">
        <f t="shared" si="6"/>
        <v>2</v>
      </c>
      <c r="K107" s="166">
        <f t="shared" si="7"/>
        <v>1</v>
      </c>
    </row>
    <row r="108" spans="1:11" x14ac:dyDescent="0.2">
      <c r="A108" s="8">
        <v>5001</v>
      </c>
      <c r="B108" s="4">
        <v>2</v>
      </c>
      <c r="C108" s="3">
        <v>38045</v>
      </c>
      <c r="D108" t="s">
        <v>69</v>
      </c>
      <c r="E108" s="6">
        <v>1511</v>
      </c>
      <c r="F108" s="165">
        <f>VLOOKUP($D$2:$D$273,Varelager!$A$2:$D$31,4)</f>
        <v>30.002954638333001</v>
      </c>
      <c r="G108" s="165">
        <f>VLOOKUP($D$2:$D$273,Varelager!$A$2:$D$31,3)</f>
        <v>35</v>
      </c>
      <c r="H108" s="166">
        <f t="shared" si="4"/>
        <v>52885</v>
      </c>
      <c r="I108" s="18">
        <f t="shared" si="5"/>
        <v>2004</v>
      </c>
      <c r="J108" s="18">
        <f t="shared" si="6"/>
        <v>2</v>
      </c>
      <c r="K108" s="166">
        <f t="shared" si="7"/>
        <v>1</v>
      </c>
    </row>
    <row r="109" spans="1:11" x14ac:dyDescent="0.2">
      <c r="A109" s="8">
        <v>5245</v>
      </c>
      <c r="B109" s="4">
        <v>1</v>
      </c>
      <c r="C109" s="3">
        <v>39202</v>
      </c>
      <c r="D109" t="s">
        <v>80</v>
      </c>
      <c r="E109" s="6">
        <v>2000</v>
      </c>
      <c r="F109" s="165">
        <f>VLOOKUP($D$2:$D$273,Varelager!$A$2:$D$31,4)</f>
        <v>8.7344200000000001</v>
      </c>
      <c r="G109" s="165">
        <f>VLOOKUP($D$2:$D$273,Varelager!$A$2:$D$31,3)</f>
        <v>14.63</v>
      </c>
      <c r="H109" s="166">
        <f t="shared" si="4"/>
        <v>29260</v>
      </c>
      <c r="I109" s="18">
        <f t="shared" si="5"/>
        <v>2007</v>
      </c>
      <c r="J109" s="18">
        <f t="shared" si="6"/>
        <v>4</v>
      </c>
      <c r="K109" s="166">
        <f t="shared" si="7"/>
        <v>2</v>
      </c>
    </row>
    <row r="110" spans="1:11" x14ac:dyDescent="0.2">
      <c r="A110" s="8">
        <v>5243</v>
      </c>
      <c r="B110" s="4">
        <v>1</v>
      </c>
      <c r="C110" s="3">
        <v>39202</v>
      </c>
      <c r="D110" t="s">
        <v>80</v>
      </c>
      <c r="E110" s="6">
        <v>1505</v>
      </c>
      <c r="F110" s="165">
        <f>VLOOKUP($D$2:$D$273,Varelager!$A$2:$D$31,4)</f>
        <v>8.7344200000000001</v>
      </c>
      <c r="G110" s="165">
        <f>VLOOKUP($D$2:$D$273,Varelager!$A$2:$D$31,3)</f>
        <v>14.63</v>
      </c>
      <c r="H110" s="166">
        <f t="shared" si="4"/>
        <v>22018.15</v>
      </c>
      <c r="I110" s="18">
        <f t="shared" si="5"/>
        <v>2007</v>
      </c>
      <c r="J110" s="18">
        <f t="shared" si="6"/>
        <v>4</v>
      </c>
      <c r="K110" s="166">
        <f t="shared" si="7"/>
        <v>2</v>
      </c>
    </row>
    <row r="111" spans="1:11" x14ac:dyDescent="0.2">
      <c r="A111" s="8">
        <v>5243</v>
      </c>
      <c r="B111" s="4">
        <v>2</v>
      </c>
      <c r="C111" s="3">
        <v>39202</v>
      </c>
      <c r="D111" t="s">
        <v>70</v>
      </c>
      <c r="E111" s="6">
        <v>2001</v>
      </c>
      <c r="F111" s="165">
        <f>VLOOKUP($D$2:$D$273,Varelager!$A$2:$D$31,4)</f>
        <v>6.03</v>
      </c>
      <c r="G111" s="165">
        <f>VLOOKUP($D$2:$D$273,Varelager!$A$2:$D$31,3)</f>
        <v>12.18</v>
      </c>
      <c r="H111" s="166">
        <f t="shared" si="4"/>
        <v>24372.18</v>
      </c>
      <c r="I111" s="18">
        <f t="shared" si="5"/>
        <v>2007</v>
      </c>
      <c r="J111" s="18">
        <f t="shared" si="6"/>
        <v>4</v>
      </c>
      <c r="K111" s="166">
        <f t="shared" si="7"/>
        <v>2</v>
      </c>
    </row>
    <row r="112" spans="1:11" x14ac:dyDescent="0.2">
      <c r="A112" s="8">
        <v>5204</v>
      </c>
      <c r="B112" s="4">
        <v>2</v>
      </c>
      <c r="C112" s="3">
        <v>38736</v>
      </c>
      <c r="D112" t="s">
        <v>71</v>
      </c>
      <c r="E112" s="6">
        <v>1843</v>
      </c>
      <c r="F112" s="165">
        <f>VLOOKUP($D$2:$D$273,Varelager!$A$2:$D$31,4)</f>
        <v>7.52</v>
      </c>
      <c r="G112" s="165">
        <f>VLOOKUP($D$2:$D$273,Varelager!$A$2:$D$31,3)</f>
        <v>16.940000000000001</v>
      </c>
      <c r="H112" s="166">
        <f t="shared" si="4"/>
        <v>31220.420000000002</v>
      </c>
      <c r="I112" s="18">
        <f t="shared" si="5"/>
        <v>2006</v>
      </c>
      <c r="J112" s="18">
        <f t="shared" si="6"/>
        <v>1</v>
      </c>
      <c r="K112" s="166">
        <f t="shared" si="7"/>
        <v>1</v>
      </c>
    </row>
    <row r="113" spans="1:11" x14ac:dyDescent="0.2">
      <c r="A113" s="8">
        <v>5204</v>
      </c>
      <c r="B113" s="4">
        <v>3</v>
      </c>
      <c r="C113" s="3">
        <v>38736</v>
      </c>
      <c r="D113" t="s">
        <v>82</v>
      </c>
      <c r="E113" s="6">
        <v>514</v>
      </c>
      <c r="F113" s="165">
        <f>VLOOKUP($D$2:$D$273,Varelager!$A$2:$D$31,4)</f>
        <v>1.5080640000000001</v>
      </c>
      <c r="G113" s="165">
        <f>VLOOKUP($D$2:$D$273,Varelager!$A$2:$D$31,3)</f>
        <v>3</v>
      </c>
      <c r="H113" s="166">
        <f t="shared" si="4"/>
        <v>1542</v>
      </c>
      <c r="I113" s="18">
        <f t="shared" si="5"/>
        <v>2006</v>
      </c>
      <c r="J113" s="18">
        <f t="shared" si="6"/>
        <v>1</v>
      </c>
      <c r="K113" s="166">
        <f t="shared" si="7"/>
        <v>1</v>
      </c>
    </row>
    <row r="114" spans="1:11" x14ac:dyDescent="0.2">
      <c r="A114" s="8">
        <v>5204</v>
      </c>
      <c r="B114" s="4">
        <v>4</v>
      </c>
      <c r="C114" s="3">
        <v>38736</v>
      </c>
      <c r="D114" t="s">
        <v>82</v>
      </c>
      <c r="E114" s="6">
        <v>972</v>
      </c>
      <c r="F114" s="165">
        <f>VLOOKUP($D$2:$D$273,Varelager!$A$2:$D$31,4)</f>
        <v>1.5080640000000001</v>
      </c>
      <c r="G114" s="165">
        <f>VLOOKUP($D$2:$D$273,Varelager!$A$2:$D$31,3)</f>
        <v>3</v>
      </c>
      <c r="H114" s="166">
        <f t="shared" si="4"/>
        <v>2916</v>
      </c>
      <c r="I114" s="18">
        <f t="shared" si="5"/>
        <v>2006</v>
      </c>
      <c r="J114" s="18">
        <f t="shared" si="6"/>
        <v>1</v>
      </c>
      <c r="K114" s="166">
        <f t="shared" si="7"/>
        <v>1</v>
      </c>
    </row>
    <row r="115" spans="1:11" x14ac:dyDescent="0.2">
      <c r="A115" s="8">
        <v>5149</v>
      </c>
      <c r="B115" s="4">
        <v>1</v>
      </c>
      <c r="C115" s="3">
        <v>38442</v>
      </c>
      <c r="D115" t="s">
        <v>71</v>
      </c>
      <c r="E115" s="6">
        <v>1732</v>
      </c>
      <c r="F115" s="165">
        <f>VLOOKUP($D$2:$D$273,Varelager!$A$2:$D$31,4)</f>
        <v>7.52</v>
      </c>
      <c r="G115" s="165">
        <f>VLOOKUP($D$2:$D$273,Varelager!$A$2:$D$31,3)</f>
        <v>16.940000000000001</v>
      </c>
      <c r="H115" s="166">
        <f t="shared" si="4"/>
        <v>29340.080000000002</v>
      </c>
      <c r="I115" s="18">
        <f t="shared" si="5"/>
        <v>2005</v>
      </c>
      <c r="J115" s="18">
        <f t="shared" si="6"/>
        <v>3</v>
      </c>
      <c r="K115" s="166">
        <f t="shared" si="7"/>
        <v>1</v>
      </c>
    </row>
    <row r="116" spans="1:11" x14ac:dyDescent="0.2">
      <c r="A116" s="8">
        <v>5149</v>
      </c>
      <c r="B116" s="4">
        <v>4</v>
      </c>
      <c r="C116" s="3">
        <v>38442</v>
      </c>
      <c r="D116" t="s">
        <v>69</v>
      </c>
      <c r="E116" s="6">
        <v>1094</v>
      </c>
      <c r="F116" s="165">
        <f>VLOOKUP($D$2:$D$273,Varelager!$A$2:$D$31,4)</f>
        <v>30.002954638333001</v>
      </c>
      <c r="G116" s="165">
        <f>VLOOKUP($D$2:$D$273,Varelager!$A$2:$D$31,3)</f>
        <v>35</v>
      </c>
      <c r="H116" s="166">
        <f t="shared" si="4"/>
        <v>38290</v>
      </c>
      <c r="I116" s="18">
        <f t="shared" si="5"/>
        <v>2005</v>
      </c>
      <c r="J116" s="18">
        <f t="shared" si="6"/>
        <v>3</v>
      </c>
      <c r="K116" s="166">
        <f t="shared" si="7"/>
        <v>1</v>
      </c>
    </row>
    <row r="117" spans="1:11" x14ac:dyDescent="0.2">
      <c r="A117" s="8">
        <v>5149</v>
      </c>
      <c r="B117" s="4">
        <v>5</v>
      </c>
      <c r="C117" s="3">
        <v>38442</v>
      </c>
      <c r="D117" t="s">
        <v>69</v>
      </c>
      <c r="E117" s="6">
        <v>1992</v>
      </c>
      <c r="F117" s="165">
        <f>VLOOKUP($D$2:$D$273,Varelager!$A$2:$D$31,4)</f>
        <v>30.002954638333001</v>
      </c>
      <c r="G117" s="165">
        <f>VLOOKUP($D$2:$D$273,Varelager!$A$2:$D$31,3)</f>
        <v>35</v>
      </c>
      <c r="H117" s="166">
        <f t="shared" si="4"/>
        <v>69720</v>
      </c>
      <c r="I117" s="18">
        <f t="shared" si="5"/>
        <v>2005</v>
      </c>
      <c r="J117" s="18">
        <f t="shared" si="6"/>
        <v>3</v>
      </c>
      <c r="K117" s="166">
        <f t="shared" si="7"/>
        <v>1</v>
      </c>
    </row>
    <row r="118" spans="1:11" x14ac:dyDescent="0.2">
      <c r="A118" s="8">
        <v>5148</v>
      </c>
      <c r="B118" s="4">
        <v>1</v>
      </c>
      <c r="C118" s="3">
        <v>38442</v>
      </c>
      <c r="D118" t="s">
        <v>80</v>
      </c>
      <c r="E118" s="6">
        <v>504</v>
      </c>
      <c r="F118" s="165">
        <f>VLOOKUP($D$2:$D$273,Varelager!$A$2:$D$31,4)</f>
        <v>8.7344200000000001</v>
      </c>
      <c r="G118" s="165">
        <f>VLOOKUP($D$2:$D$273,Varelager!$A$2:$D$31,3)</f>
        <v>14.63</v>
      </c>
      <c r="H118" s="166">
        <f t="shared" si="4"/>
        <v>7373.52</v>
      </c>
      <c r="I118" s="18">
        <f t="shared" si="5"/>
        <v>2005</v>
      </c>
      <c r="J118" s="18">
        <f t="shared" si="6"/>
        <v>3</v>
      </c>
      <c r="K118" s="166">
        <f t="shared" si="7"/>
        <v>1</v>
      </c>
    </row>
    <row r="119" spans="1:11" x14ac:dyDescent="0.2">
      <c r="A119" s="8">
        <v>5148</v>
      </c>
      <c r="B119" s="4">
        <v>2</v>
      </c>
      <c r="C119" s="3">
        <v>38442</v>
      </c>
      <c r="D119" t="s">
        <v>77</v>
      </c>
      <c r="E119" s="6">
        <v>1488</v>
      </c>
      <c r="F119" s="165">
        <f>VLOOKUP($D$2:$D$273,Varelager!$A$2:$D$31,4)</f>
        <v>6.26</v>
      </c>
      <c r="G119" s="165">
        <f>VLOOKUP($D$2:$D$273,Varelager!$A$2:$D$31,3)</f>
        <v>12.18</v>
      </c>
      <c r="H119" s="166">
        <f t="shared" si="4"/>
        <v>18123.84</v>
      </c>
      <c r="I119" s="18">
        <f t="shared" si="5"/>
        <v>2005</v>
      </c>
      <c r="J119" s="18">
        <f t="shared" si="6"/>
        <v>3</v>
      </c>
      <c r="K119" s="166">
        <f t="shared" si="7"/>
        <v>1</v>
      </c>
    </row>
    <row r="120" spans="1:11" x14ac:dyDescent="0.2">
      <c r="A120" s="8">
        <v>5148</v>
      </c>
      <c r="B120" s="4">
        <v>3</v>
      </c>
      <c r="C120" s="3">
        <v>38442</v>
      </c>
      <c r="D120" t="s">
        <v>70</v>
      </c>
      <c r="E120" s="6">
        <v>1838</v>
      </c>
      <c r="F120" s="165">
        <f>VLOOKUP($D$2:$D$273,Varelager!$A$2:$D$31,4)</f>
        <v>6.03</v>
      </c>
      <c r="G120" s="165">
        <f>VLOOKUP($D$2:$D$273,Varelager!$A$2:$D$31,3)</f>
        <v>12.18</v>
      </c>
      <c r="H120" s="166">
        <f t="shared" si="4"/>
        <v>22386.84</v>
      </c>
      <c r="I120" s="18">
        <f t="shared" si="5"/>
        <v>2005</v>
      </c>
      <c r="J120" s="18">
        <f t="shared" si="6"/>
        <v>3</v>
      </c>
      <c r="K120" s="166">
        <f t="shared" si="7"/>
        <v>1</v>
      </c>
    </row>
    <row r="121" spans="1:11" x14ac:dyDescent="0.2">
      <c r="A121" s="8">
        <v>5130</v>
      </c>
      <c r="B121" s="4">
        <v>1</v>
      </c>
      <c r="C121" s="3">
        <v>38410</v>
      </c>
      <c r="D121" t="s">
        <v>70</v>
      </c>
      <c r="E121" s="6">
        <v>348</v>
      </c>
      <c r="F121" s="165">
        <f>VLOOKUP($D$2:$D$273,Varelager!$A$2:$D$31,4)</f>
        <v>6.03</v>
      </c>
      <c r="G121" s="165">
        <f>VLOOKUP($D$2:$D$273,Varelager!$A$2:$D$31,3)</f>
        <v>12.18</v>
      </c>
      <c r="H121" s="166">
        <f t="shared" si="4"/>
        <v>4238.6400000000003</v>
      </c>
      <c r="I121" s="18">
        <f t="shared" si="5"/>
        <v>2005</v>
      </c>
      <c r="J121" s="18">
        <f t="shared" si="6"/>
        <v>2</v>
      </c>
      <c r="K121" s="166">
        <f t="shared" si="7"/>
        <v>1</v>
      </c>
    </row>
    <row r="122" spans="1:11" x14ac:dyDescent="0.2">
      <c r="A122" s="8">
        <v>5130</v>
      </c>
      <c r="B122" s="4">
        <v>3</v>
      </c>
      <c r="C122" s="3">
        <v>38410</v>
      </c>
      <c r="D122" t="s">
        <v>76</v>
      </c>
      <c r="E122" s="6">
        <v>276</v>
      </c>
      <c r="F122" s="165">
        <f>VLOOKUP($D$2:$D$273,Varelager!$A$2:$D$31,4)</f>
        <v>5.004390986602</v>
      </c>
      <c r="G122" s="165">
        <f>VLOOKUP($D$2:$D$273,Varelager!$A$2:$D$31,3)</f>
        <v>10</v>
      </c>
      <c r="H122" s="166">
        <f t="shared" si="4"/>
        <v>2760</v>
      </c>
      <c r="I122" s="18">
        <f t="shared" si="5"/>
        <v>2005</v>
      </c>
      <c r="J122" s="18">
        <f t="shared" si="6"/>
        <v>2</v>
      </c>
      <c r="K122" s="166">
        <f t="shared" si="7"/>
        <v>1</v>
      </c>
    </row>
    <row r="123" spans="1:11" x14ac:dyDescent="0.2">
      <c r="A123" s="8">
        <v>5130</v>
      </c>
      <c r="B123" s="4">
        <v>5</v>
      </c>
      <c r="C123" s="3">
        <v>38410</v>
      </c>
      <c r="D123" t="s">
        <v>70</v>
      </c>
      <c r="E123" s="6">
        <v>1941</v>
      </c>
      <c r="F123" s="165">
        <f>VLOOKUP($D$2:$D$273,Varelager!$A$2:$D$31,4)</f>
        <v>6.03</v>
      </c>
      <c r="G123" s="165">
        <f>VLOOKUP($D$2:$D$273,Varelager!$A$2:$D$31,3)</f>
        <v>12.18</v>
      </c>
      <c r="H123" s="166">
        <f t="shared" si="4"/>
        <v>23641.38</v>
      </c>
      <c r="I123" s="18">
        <f t="shared" si="5"/>
        <v>2005</v>
      </c>
      <c r="J123" s="18">
        <f t="shared" si="6"/>
        <v>2</v>
      </c>
      <c r="K123" s="166">
        <f t="shared" si="7"/>
        <v>1</v>
      </c>
    </row>
    <row r="124" spans="1:11" x14ac:dyDescent="0.2">
      <c r="A124" s="8">
        <v>5130</v>
      </c>
      <c r="B124" s="4">
        <v>6</v>
      </c>
      <c r="C124" s="3">
        <v>38410</v>
      </c>
      <c r="D124" t="s">
        <v>77</v>
      </c>
      <c r="E124" s="6">
        <v>1142</v>
      </c>
      <c r="F124" s="165">
        <f>VLOOKUP($D$2:$D$273,Varelager!$A$2:$D$31,4)</f>
        <v>6.26</v>
      </c>
      <c r="G124" s="165">
        <f>VLOOKUP($D$2:$D$273,Varelager!$A$2:$D$31,3)</f>
        <v>12.18</v>
      </c>
      <c r="H124" s="166">
        <f t="shared" si="4"/>
        <v>13909.56</v>
      </c>
      <c r="I124" s="18">
        <f t="shared" si="5"/>
        <v>2005</v>
      </c>
      <c r="J124" s="18">
        <f t="shared" si="6"/>
        <v>2</v>
      </c>
      <c r="K124" s="166">
        <f t="shared" si="7"/>
        <v>1</v>
      </c>
    </row>
    <row r="125" spans="1:11" x14ac:dyDescent="0.2">
      <c r="A125" s="8">
        <v>5090</v>
      </c>
      <c r="B125" s="4">
        <v>1</v>
      </c>
      <c r="C125" s="3">
        <v>38290</v>
      </c>
      <c r="D125" t="s">
        <v>77</v>
      </c>
      <c r="E125" s="6">
        <v>642</v>
      </c>
      <c r="F125" s="165">
        <f>VLOOKUP($D$2:$D$273,Varelager!$A$2:$D$31,4)</f>
        <v>6.26</v>
      </c>
      <c r="G125" s="165">
        <f>VLOOKUP($D$2:$D$273,Varelager!$A$2:$D$31,3)</f>
        <v>12.18</v>
      </c>
      <c r="H125" s="166">
        <f t="shared" si="4"/>
        <v>7819.5599999999995</v>
      </c>
      <c r="I125" s="18">
        <f t="shared" si="5"/>
        <v>2004</v>
      </c>
      <c r="J125" s="18">
        <f t="shared" si="6"/>
        <v>10</v>
      </c>
      <c r="K125" s="166">
        <f t="shared" si="7"/>
        <v>4</v>
      </c>
    </row>
    <row r="126" spans="1:11" x14ac:dyDescent="0.2">
      <c r="A126" s="8">
        <v>5090</v>
      </c>
      <c r="B126" s="4">
        <v>2</v>
      </c>
      <c r="C126" s="3">
        <v>38290</v>
      </c>
      <c r="D126" t="s">
        <v>82</v>
      </c>
      <c r="E126" s="6">
        <v>1764</v>
      </c>
      <c r="F126" s="165">
        <f>VLOOKUP($D$2:$D$273,Varelager!$A$2:$D$31,4)</f>
        <v>1.5080640000000001</v>
      </c>
      <c r="G126" s="165">
        <f>VLOOKUP($D$2:$D$273,Varelager!$A$2:$D$31,3)</f>
        <v>3</v>
      </c>
      <c r="H126" s="166">
        <f t="shared" si="4"/>
        <v>5292</v>
      </c>
      <c r="I126" s="18">
        <f t="shared" si="5"/>
        <v>2004</v>
      </c>
      <c r="J126" s="18">
        <f t="shared" si="6"/>
        <v>10</v>
      </c>
      <c r="K126" s="166">
        <f t="shared" si="7"/>
        <v>4</v>
      </c>
    </row>
    <row r="127" spans="1:11" x14ac:dyDescent="0.2">
      <c r="A127" s="8">
        <v>5090</v>
      </c>
      <c r="B127" s="4">
        <v>3</v>
      </c>
      <c r="C127" s="3">
        <v>38290</v>
      </c>
      <c r="D127" t="s">
        <v>76</v>
      </c>
      <c r="E127" s="6">
        <v>328</v>
      </c>
      <c r="F127" s="165">
        <f>VLOOKUP($D$2:$D$273,Varelager!$A$2:$D$31,4)</f>
        <v>5.004390986602</v>
      </c>
      <c r="G127" s="165">
        <f>VLOOKUP($D$2:$D$273,Varelager!$A$2:$D$31,3)</f>
        <v>10</v>
      </c>
      <c r="H127" s="166">
        <f t="shared" si="4"/>
        <v>3280</v>
      </c>
      <c r="I127" s="18">
        <f t="shared" si="5"/>
        <v>2004</v>
      </c>
      <c r="J127" s="18">
        <f t="shared" si="6"/>
        <v>10</v>
      </c>
      <c r="K127" s="166">
        <f t="shared" si="7"/>
        <v>4</v>
      </c>
    </row>
    <row r="128" spans="1:11" x14ac:dyDescent="0.2">
      <c r="A128" s="8">
        <v>5090</v>
      </c>
      <c r="B128" s="4">
        <v>4</v>
      </c>
      <c r="C128" s="3">
        <v>38290</v>
      </c>
      <c r="D128" t="s">
        <v>77</v>
      </c>
      <c r="E128" s="6">
        <v>853</v>
      </c>
      <c r="F128" s="165">
        <f>VLOOKUP($D$2:$D$273,Varelager!$A$2:$D$31,4)</f>
        <v>6.26</v>
      </c>
      <c r="G128" s="165">
        <f>VLOOKUP($D$2:$D$273,Varelager!$A$2:$D$31,3)</f>
        <v>12.18</v>
      </c>
      <c r="H128" s="166">
        <f t="shared" si="4"/>
        <v>10389.539999999999</v>
      </c>
      <c r="I128" s="18">
        <f t="shared" si="5"/>
        <v>2004</v>
      </c>
      <c r="J128" s="18">
        <f t="shared" si="6"/>
        <v>10</v>
      </c>
      <c r="K128" s="166">
        <f t="shared" si="7"/>
        <v>4</v>
      </c>
    </row>
    <row r="129" spans="1:11" x14ac:dyDescent="0.2">
      <c r="A129" s="8">
        <v>5076</v>
      </c>
      <c r="B129" s="4">
        <v>1</v>
      </c>
      <c r="C129" s="3">
        <v>38260</v>
      </c>
      <c r="D129" t="s">
        <v>69</v>
      </c>
      <c r="E129" s="6">
        <v>394</v>
      </c>
      <c r="F129" s="165">
        <f>VLOOKUP($D$2:$D$273,Varelager!$A$2:$D$31,4)</f>
        <v>30.002954638333001</v>
      </c>
      <c r="G129" s="165">
        <f>VLOOKUP($D$2:$D$273,Varelager!$A$2:$D$31,3)</f>
        <v>35</v>
      </c>
      <c r="H129" s="166">
        <f t="shared" si="4"/>
        <v>13790</v>
      </c>
      <c r="I129" s="18">
        <f t="shared" si="5"/>
        <v>2004</v>
      </c>
      <c r="J129" s="18">
        <f t="shared" si="6"/>
        <v>9</v>
      </c>
      <c r="K129" s="166">
        <f t="shared" si="7"/>
        <v>3</v>
      </c>
    </row>
    <row r="130" spans="1:11" x14ac:dyDescent="0.2">
      <c r="A130" s="8">
        <v>5076</v>
      </c>
      <c r="B130" s="4">
        <v>3</v>
      </c>
      <c r="C130" s="3">
        <v>38260</v>
      </c>
      <c r="D130" t="s">
        <v>82</v>
      </c>
      <c r="E130" s="6">
        <v>908</v>
      </c>
      <c r="F130" s="165">
        <f>VLOOKUP($D$2:$D$273,Varelager!$A$2:$D$31,4)</f>
        <v>1.5080640000000001</v>
      </c>
      <c r="G130" s="165">
        <f>VLOOKUP($D$2:$D$273,Varelager!$A$2:$D$31,3)</f>
        <v>3</v>
      </c>
      <c r="H130" s="166">
        <f t="shared" si="4"/>
        <v>2724</v>
      </c>
      <c r="I130" s="18">
        <f t="shared" si="5"/>
        <v>2004</v>
      </c>
      <c r="J130" s="18">
        <f t="shared" si="6"/>
        <v>9</v>
      </c>
      <c r="K130" s="166">
        <f t="shared" si="7"/>
        <v>3</v>
      </c>
    </row>
    <row r="131" spans="1:11" x14ac:dyDescent="0.2">
      <c r="A131" s="8">
        <v>5064</v>
      </c>
      <c r="B131" s="4">
        <v>1</v>
      </c>
      <c r="C131" s="3">
        <v>38230</v>
      </c>
      <c r="D131" t="s">
        <v>69</v>
      </c>
      <c r="E131" s="6">
        <v>556</v>
      </c>
      <c r="F131" s="165">
        <f>VLOOKUP($D$2:$D$273,Varelager!$A$2:$D$31,4)</f>
        <v>30.002954638333001</v>
      </c>
      <c r="G131" s="165">
        <f>VLOOKUP($D$2:$D$273,Varelager!$A$2:$D$31,3)</f>
        <v>35</v>
      </c>
      <c r="H131" s="166">
        <f t="shared" ref="H131:H194" si="8">G131*E131</f>
        <v>19460</v>
      </c>
      <c r="I131" s="18">
        <f t="shared" ref="I131:I194" si="9">YEAR(C131)</f>
        <v>2004</v>
      </c>
      <c r="J131" s="18">
        <f t="shared" ref="J131:J194" si="10">MONTH(C131)</f>
        <v>8</v>
      </c>
      <c r="K131" s="166">
        <f t="shared" ref="K131:K194" si="11">IF(J131&lt;=3,1,IF(J131=4,2,IF(J131=5,2,IF(J131=6,2,IF(J131=7,3,IF(J131=8,3,IF(J131=9,3,IF(J131&gt;9,4))))))))</f>
        <v>3</v>
      </c>
    </row>
    <row r="132" spans="1:11" x14ac:dyDescent="0.2">
      <c r="A132" s="8">
        <v>5020</v>
      </c>
      <c r="B132" s="4">
        <v>1</v>
      </c>
      <c r="C132" s="3">
        <v>38107</v>
      </c>
      <c r="D132" t="s">
        <v>76</v>
      </c>
      <c r="E132" s="6">
        <v>220</v>
      </c>
      <c r="F132" s="165">
        <f>VLOOKUP($D$2:$D$273,Varelager!$A$2:$D$31,4)</f>
        <v>5.004390986602</v>
      </c>
      <c r="G132" s="165">
        <f>VLOOKUP($D$2:$D$273,Varelager!$A$2:$D$31,3)</f>
        <v>10</v>
      </c>
      <c r="H132" s="166">
        <f t="shared" si="8"/>
        <v>2200</v>
      </c>
      <c r="I132" s="18">
        <f t="shared" si="9"/>
        <v>2004</v>
      </c>
      <c r="J132" s="18">
        <f t="shared" si="10"/>
        <v>4</v>
      </c>
      <c r="K132" s="166">
        <f t="shared" si="11"/>
        <v>2</v>
      </c>
    </row>
    <row r="133" spans="1:11" x14ac:dyDescent="0.2">
      <c r="A133" s="8">
        <v>5020</v>
      </c>
      <c r="B133" s="4">
        <v>2</v>
      </c>
      <c r="C133" s="3">
        <v>38107</v>
      </c>
      <c r="D133" t="s">
        <v>69</v>
      </c>
      <c r="E133" s="6">
        <v>742</v>
      </c>
      <c r="F133" s="165">
        <f>VLOOKUP($D$2:$D$273,Varelager!$A$2:$D$31,4)</f>
        <v>30.002954638333001</v>
      </c>
      <c r="G133" s="165">
        <f>VLOOKUP($D$2:$D$273,Varelager!$A$2:$D$31,3)</f>
        <v>35</v>
      </c>
      <c r="H133" s="166">
        <f t="shared" si="8"/>
        <v>25970</v>
      </c>
      <c r="I133" s="18">
        <f t="shared" si="9"/>
        <v>2004</v>
      </c>
      <c r="J133" s="18">
        <f t="shared" si="10"/>
        <v>4</v>
      </c>
      <c r="K133" s="166">
        <f t="shared" si="11"/>
        <v>2</v>
      </c>
    </row>
    <row r="134" spans="1:11" x14ac:dyDescent="0.2">
      <c r="A134" s="8">
        <v>5020</v>
      </c>
      <c r="B134" s="4">
        <v>4</v>
      </c>
      <c r="C134" s="3">
        <v>38107</v>
      </c>
      <c r="D134" t="s">
        <v>76</v>
      </c>
      <c r="E134" s="6">
        <v>506</v>
      </c>
      <c r="F134" s="165">
        <f>VLOOKUP($D$2:$D$273,Varelager!$A$2:$D$31,4)</f>
        <v>5.004390986602</v>
      </c>
      <c r="G134" s="165">
        <f>VLOOKUP($D$2:$D$273,Varelager!$A$2:$D$31,3)</f>
        <v>10</v>
      </c>
      <c r="H134" s="166">
        <f t="shared" si="8"/>
        <v>5060</v>
      </c>
      <c r="I134" s="18">
        <f t="shared" si="9"/>
        <v>2004</v>
      </c>
      <c r="J134" s="18">
        <f t="shared" si="10"/>
        <v>4</v>
      </c>
      <c r="K134" s="166">
        <f t="shared" si="11"/>
        <v>2</v>
      </c>
    </row>
    <row r="135" spans="1:11" x14ac:dyDescent="0.2">
      <c r="A135" s="8">
        <v>5020</v>
      </c>
      <c r="B135" s="4">
        <v>6</v>
      </c>
      <c r="C135" s="3">
        <v>38107</v>
      </c>
      <c r="D135" t="s">
        <v>80</v>
      </c>
      <c r="E135" s="6">
        <v>874</v>
      </c>
      <c r="F135" s="165">
        <f>VLOOKUP($D$2:$D$273,Varelager!$A$2:$D$31,4)</f>
        <v>8.7344200000000001</v>
      </c>
      <c r="G135" s="165">
        <f>VLOOKUP($D$2:$D$273,Varelager!$A$2:$D$31,3)</f>
        <v>14.63</v>
      </c>
      <c r="H135" s="166">
        <f t="shared" si="8"/>
        <v>12786.62</v>
      </c>
      <c r="I135" s="18">
        <f t="shared" si="9"/>
        <v>2004</v>
      </c>
      <c r="J135" s="18">
        <f t="shared" si="10"/>
        <v>4</v>
      </c>
      <c r="K135" s="166">
        <f t="shared" si="11"/>
        <v>2</v>
      </c>
    </row>
    <row r="136" spans="1:11" x14ac:dyDescent="0.2">
      <c r="A136" s="8">
        <v>5008</v>
      </c>
      <c r="B136" s="4">
        <v>1</v>
      </c>
      <c r="C136" s="3">
        <v>38077</v>
      </c>
      <c r="D136" t="s">
        <v>70</v>
      </c>
      <c r="E136" s="6">
        <v>1649</v>
      </c>
      <c r="F136" s="165">
        <f>VLOOKUP($D$2:$D$273,Varelager!$A$2:$D$31,4)</f>
        <v>6.03</v>
      </c>
      <c r="G136" s="165">
        <f>VLOOKUP($D$2:$D$273,Varelager!$A$2:$D$31,3)</f>
        <v>12.18</v>
      </c>
      <c r="H136" s="166">
        <f t="shared" si="8"/>
        <v>20084.82</v>
      </c>
      <c r="I136" s="18">
        <f t="shared" si="9"/>
        <v>2004</v>
      </c>
      <c r="J136" s="18">
        <f t="shared" si="10"/>
        <v>3</v>
      </c>
      <c r="K136" s="166">
        <f t="shared" si="11"/>
        <v>1</v>
      </c>
    </row>
    <row r="137" spans="1:11" x14ac:dyDescent="0.2">
      <c r="A137" s="8">
        <v>5008</v>
      </c>
      <c r="B137" s="4">
        <v>2</v>
      </c>
      <c r="C137" s="3">
        <v>38077</v>
      </c>
      <c r="D137" t="s">
        <v>71</v>
      </c>
      <c r="E137" s="6">
        <v>315</v>
      </c>
      <c r="F137" s="165">
        <f>VLOOKUP($D$2:$D$273,Varelager!$A$2:$D$31,4)</f>
        <v>7.52</v>
      </c>
      <c r="G137" s="165">
        <f>VLOOKUP($D$2:$D$273,Varelager!$A$2:$D$31,3)</f>
        <v>16.940000000000001</v>
      </c>
      <c r="H137" s="166">
        <f t="shared" si="8"/>
        <v>5336.1</v>
      </c>
      <c r="I137" s="18">
        <f t="shared" si="9"/>
        <v>2004</v>
      </c>
      <c r="J137" s="18">
        <f t="shared" si="10"/>
        <v>3</v>
      </c>
      <c r="K137" s="166">
        <f t="shared" si="11"/>
        <v>1</v>
      </c>
    </row>
    <row r="138" spans="1:11" x14ac:dyDescent="0.2">
      <c r="A138" s="8">
        <v>5008</v>
      </c>
      <c r="B138" s="4">
        <v>3</v>
      </c>
      <c r="C138" s="3">
        <v>38077</v>
      </c>
      <c r="D138" t="s">
        <v>80</v>
      </c>
      <c r="E138" s="6">
        <v>746</v>
      </c>
      <c r="F138" s="165">
        <f>VLOOKUP($D$2:$D$273,Varelager!$A$2:$D$31,4)</f>
        <v>8.7344200000000001</v>
      </c>
      <c r="G138" s="165">
        <f>VLOOKUP($D$2:$D$273,Varelager!$A$2:$D$31,3)</f>
        <v>14.63</v>
      </c>
      <c r="H138" s="166">
        <f t="shared" si="8"/>
        <v>10913.980000000001</v>
      </c>
      <c r="I138" s="18">
        <f t="shared" si="9"/>
        <v>2004</v>
      </c>
      <c r="J138" s="18">
        <f t="shared" si="10"/>
        <v>3</v>
      </c>
      <c r="K138" s="166">
        <f t="shared" si="11"/>
        <v>1</v>
      </c>
    </row>
    <row r="139" spans="1:11" x14ac:dyDescent="0.2">
      <c r="A139" s="8">
        <v>5008</v>
      </c>
      <c r="B139" s="4">
        <v>5</v>
      </c>
      <c r="C139" s="3">
        <v>38077</v>
      </c>
      <c r="D139" t="s">
        <v>70</v>
      </c>
      <c r="E139" s="6">
        <v>1416</v>
      </c>
      <c r="F139" s="165">
        <f>VLOOKUP($D$2:$D$273,Varelager!$A$2:$D$31,4)</f>
        <v>6.03</v>
      </c>
      <c r="G139" s="165">
        <f>VLOOKUP($D$2:$D$273,Varelager!$A$2:$D$31,3)</f>
        <v>12.18</v>
      </c>
      <c r="H139" s="166">
        <f t="shared" si="8"/>
        <v>17246.88</v>
      </c>
      <c r="I139" s="18">
        <f t="shared" si="9"/>
        <v>2004</v>
      </c>
      <c r="J139" s="18">
        <f t="shared" si="10"/>
        <v>3</v>
      </c>
      <c r="K139" s="166">
        <f t="shared" si="11"/>
        <v>1</v>
      </c>
    </row>
    <row r="140" spans="1:11" x14ac:dyDescent="0.2">
      <c r="A140" s="8">
        <v>5251</v>
      </c>
      <c r="B140" s="4">
        <v>2</v>
      </c>
      <c r="C140" s="3">
        <v>39051</v>
      </c>
      <c r="D140" t="s">
        <v>71</v>
      </c>
      <c r="E140" s="6">
        <v>7500</v>
      </c>
      <c r="F140" s="165">
        <f>VLOOKUP($D$2:$D$273,Varelager!$A$2:$D$31,4)</f>
        <v>7.52</v>
      </c>
      <c r="G140" s="165">
        <f>VLOOKUP($D$2:$D$273,Varelager!$A$2:$D$31,3)</f>
        <v>16.940000000000001</v>
      </c>
      <c r="H140" s="166">
        <f t="shared" si="8"/>
        <v>127050.00000000001</v>
      </c>
      <c r="I140" s="18">
        <f t="shared" si="9"/>
        <v>2006</v>
      </c>
      <c r="J140" s="18">
        <f t="shared" si="10"/>
        <v>11</v>
      </c>
      <c r="K140" s="166">
        <f t="shared" si="11"/>
        <v>4</v>
      </c>
    </row>
    <row r="141" spans="1:11" x14ac:dyDescent="0.2">
      <c r="A141" s="8">
        <v>5251</v>
      </c>
      <c r="B141" s="4">
        <v>3</v>
      </c>
      <c r="C141" s="3">
        <v>39051</v>
      </c>
      <c r="D141" t="s">
        <v>69</v>
      </c>
      <c r="E141" s="6">
        <v>2500</v>
      </c>
      <c r="F141" s="165">
        <f>VLOOKUP($D$2:$D$273,Varelager!$A$2:$D$31,4)</f>
        <v>30.002954638333001</v>
      </c>
      <c r="G141" s="165">
        <f>VLOOKUP($D$2:$D$273,Varelager!$A$2:$D$31,3)</f>
        <v>35</v>
      </c>
      <c r="H141" s="166">
        <f t="shared" si="8"/>
        <v>87500</v>
      </c>
      <c r="I141" s="18">
        <f t="shared" si="9"/>
        <v>2006</v>
      </c>
      <c r="J141" s="18">
        <f t="shared" si="10"/>
        <v>11</v>
      </c>
      <c r="K141" s="166">
        <f t="shared" si="11"/>
        <v>4</v>
      </c>
    </row>
    <row r="142" spans="1:11" x14ac:dyDescent="0.2">
      <c r="A142" s="8">
        <v>5251</v>
      </c>
      <c r="B142" s="4">
        <v>1</v>
      </c>
      <c r="C142" s="3">
        <v>39051</v>
      </c>
      <c r="D142" t="s">
        <v>76</v>
      </c>
      <c r="E142" s="6">
        <v>20000</v>
      </c>
      <c r="F142" s="165">
        <f>VLOOKUP($D$2:$D$273,Varelager!$A$2:$D$31,4)</f>
        <v>5.004390986602</v>
      </c>
      <c r="G142" s="165">
        <f>VLOOKUP($D$2:$D$273,Varelager!$A$2:$D$31,3)</f>
        <v>10</v>
      </c>
      <c r="H142" s="166">
        <f t="shared" si="8"/>
        <v>200000</v>
      </c>
      <c r="I142" s="18">
        <f t="shared" si="9"/>
        <v>2006</v>
      </c>
      <c r="J142" s="18">
        <f t="shared" si="10"/>
        <v>11</v>
      </c>
      <c r="K142" s="166">
        <f t="shared" si="11"/>
        <v>4</v>
      </c>
    </row>
    <row r="143" spans="1:11" x14ac:dyDescent="0.2">
      <c r="A143" s="8">
        <v>5242</v>
      </c>
      <c r="B143" s="4">
        <v>2</v>
      </c>
      <c r="C143" s="3">
        <v>39172</v>
      </c>
      <c r="D143" t="s">
        <v>82</v>
      </c>
      <c r="E143" s="6">
        <v>100</v>
      </c>
      <c r="F143" s="165">
        <f>VLOOKUP($D$2:$D$273,Varelager!$A$2:$D$31,4)</f>
        <v>1.5080640000000001</v>
      </c>
      <c r="G143" s="165">
        <f>VLOOKUP($D$2:$D$273,Varelager!$A$2:$D$31,3)</f>
        <v>3</v>
      </c>
      <c r="H143" s="166">
        <f t="shared" si="8"/>
        <v>300</v>
      </c>
      <c r="I143" s="18">
        <f t="shared" si="9"/>
        <v>2007</v>
      </c>
      <c r="J143" s="18">
        <f t="shared" si="10"/>
        <v>3</v>
      </c>
      <c r="K143" s="166">
        <f t="shared" si="11"/>
        <v>1</v>
      </c>
    </row>
    <row r="144" spans="1:11" x14ac:dyDescent="0.2">
      <c r="A144" s="8">
        <v>5203</v>
      </c>
      <c r="B144" s="4">
        <v>1</v>
      </c>
      <c r="C144" s="3">
        <v>38730</v>
      </c>
      <c r="D144" t="s">
        <v>69</v>
      </c>
      <c r="E144" s="6">
        <v>2274</v>
      </c>
      <c r="F144" s="165">
        <f>VLOOKUP($D$2:$D$273,Varelager!$A$2:$D$31,4)</f>
        <v>30.002954638333001</v>
      </c>
      <c r="G144" s="165">
        <f>VLOOKUP($D$2:$D$273,Varelager!$A$2:$D$31,3)</f>
        <v>35</v>
      </c>
      <c r="H144" s="166">
        <f t="shared" si="8"/>
        <v>79590</v>
      </c>
      <c r="I144" s="18">
        <f t="shared" si="9"/>
        <v>2006</v>
      </c>
      <c r="J144" s="18">
        <f t="shared" si="10"/>
        <v>1</v>
      </c>
      <c r="K144" s="166">
        <f t="shared" si="11"/>
        <v>1</v>
      </c>
    </row>
    <row r="145" spans="1:11" x14ac:dyDescent="0.2">
      <c r="A145" s="8">
        <v>5200</v>
      </c>
      <c r="B145" s="4">
        <v>1</v>
      </c>
      <c r="C145" s="3">
        <v>38858</v>
      </c>
      <c r="D145" t="s">
        <v>69</v>
      </c>
      <c r="E145" s="6">
        <v>1179</v>
      </c>
      <c r="F145" s="165">
        <f>VLOOKUP($D$2:$D$273,Varelager!$A$2:$D$31,4)</f>
        <v>30.002954638333001</v>
      </c>
      <c r="G145" s="165">
        <f>VLOOKUP($D$2:$D$273,Varelager!$A$2:$D$31,3)</f>
        <v>35</v>
      </c>
      <c r="H145" s="166">
        <f t="shared" si="8"/>
        <v>41265</v>
      </c>
      <c r="I145" s="18">
        <f t="shared" si="9"/>
        <v>2006</v>
      </c>
      <c r="J145" s="18">
        <f t="shared" si="10"/>
        <v>5</v>
      </c>
      <c r="K145" s="166">
        <f t="shared" si="11"/>
        <v>2</v>
      </c>
    </row>
    <row r="146" spans="1:11" x14ac:dyDescent="0.2">
      <c r="A146" s="8">
        <v>5161</v>
      </c>
      <c r="B146" s="4">
        <v>1</v>
      </c>
      <c r="C146" s="3">
        <v>38471</v>
      </c>
      <c r="D146" t="s">
        <v>80</v>
      </c>
      <c r="E146" s="6">
        <v>942</v>
      </c>
      <c r="F146" s="165">
        <f>VLOOKUP($D$2:$D$273,Varelager!$A$2:$D$31,4)</f>
        <v>8.7344200000000001</v>
      </c>
      <c r="G146" s="165">
        <f>VLOOKUP($D$2:$D$273,Varelager!$A$2:$D$31,3)</f>
        <v>14.63</v>
      </c>
      <c r="H146" s="166">
        <f t="shared" si="8"/>
        <v>13781.460000000001</v>
      </c>
      <c r="I146" s="18">
        <f t="shared" si="9"/>
        <v>2005</v>
      </c>
      <c r="J146" s="18">
        <f t="shared" si="10"/>
        <v>4</v>
      </c>
      <c r="K146" s="166">
        <f t="shared" si="11"/>
        <v>2</v>
      </c>
    </row>
    <row r="147" spans="1:11" x14ac:dyDescent="0.2">
      <c r="A147" s="8">
        <v>5161</v>
      </c>
      <c r="B147" s="4">
        <v>2</v>
      </c>
      <c r="C147" s="3">
        <v>38471</v>
      </c>
      <c r="D147" t="s">
        <v>71</v>
      </c>
      <c r="E147" s="6">
        <v>725</v>
      </c>
      <c r="F147" s="165">
        <f>VLOOKUP($D$2:$D$273,Varelager!$A$2:$D$31,4)</f>
        <v>7.52</v>
      </c>
      <c r="G147" s="165">
        <f>VLOOKUP($D$2:$D$273,Varelager!$A$2:$D$31,3)</f>
        <v>16.940000000000001</v>
      </c>
      <c r="H147" s="166">
        <f t="shared" si="8"/>
        <v>12281.500000000002</v>
      </c>
      <c r="I147" s="18">
        <f t="shared" si="9"/>
        <v>2005</v>
      </c>
      <c r="J147" s="18">
        <f t="shared" si="10"/>
        <v>4</v>
      </c>
      <c r="K147" s="166">
        <f t="shared" si="11"/>
        <v>2</v>
      </c>
    </row>
    <row r="148" spans="1:11" x14ac:dyDescent="0.2">
      <c r="A148" s="8">
        <v>5161</v>
      </c>
      <c r="B148" s="4">
        <v>4</v>
      </c>
      <c r="C148" s="3">
        <v>38471</v>
      </c>
      <c r="D148" t="s">
        <v>76</v>
      </c>
      <c r="E148" s="6">
        <v>1654</v>
      </c>
      <c r="F148" s="165">
        <f>VLOOKUP($D$2:$D$273,Varelager!$A$2:$D$31,4)</f>
        <v>5.004390986602</v>
      </c>
      <c r="G148" s="165">
        <f>VLOOKUP($D$2:$D$273,Varelager!$A$2:$D$31,3)</f>
        <v>10</v>
      </c>
      <c r="H148" s="166">
        <f t="shared" si="8"/>
        <v>16540</v>
      </c>
      <c r="I148" s="18">
        <f t="shared" si="9"/>
        <v>2005</v>
      </c>
      <c r="J148" s="18">
        <f t="shared" si="10"/>
        <v>4</v>
      </c>
      <c r="K148" s="166">
        <f t="shared" si="11"/>
        <v>2</v>
      </c>
    </row>
    <row r="149" spans="1:11" x14ac:dyDescent="0.2">
      <c r="A149" s="8">
        <v>5137</v>
      </c>
      <c r="B149" s="4">
        <v>1</v>
      </c>
      <c r="C149" s="3">
        <v>38442</v>
      </c>
      <c r="D149" t="s">
        <v>77</v>
      </c>
      <c r="E149" s="6">
        <v>1263</v>
      </c>
      <c r="F149" s="165">
        <f>VLOOKUP($D$2:$D$273,Varelager!$A$2:$D$31,4)</f>
        <v>6.26</v>
      </c>
      <c r="G149" s="165">
        <f>VLOOKUP($D$2:$D$273,Varelager!$A$2:$D$31,3)</f>
        <v>12.18</v>
      </c>
      <c r="H149" s="166">
        <f t="shared" si="8"/>
        <v>15383.34</v>
      </c>
      <c r="I149" s="18">
        <f t="shared" si="9"/>
        <v>2005</v>
      </c>
      <c r="J149" s="18">
        <f t="shared" si="10"/>
        <v>3</v>
      </c>
      <c r="K149" s="166">
        <f t="shared" si="11"/>
        <v>1</v>
      </c>
    </row>
    <row r="150" spans="1:11" x14ac:dyDescent="0.2">
      <c r="A150" s="8">
        <v>5137</v>
      </c>
      <c r="B150" s="4">
        <v>3</v>
      </c>
      <c r="C150" s="3">
        <v>38442</v>
      </c>
      <c r="D150" t="s">
        <v>71</v>
      </c>
      <c r="E150" s="6">
        <v>1594</v>
      </c>
      <c r="F150" s="165">
        <f>VLOOKUP($D$2:$D$273,Varelager!$A$2:$D$31,4)</f>
        <v>7.52</v>
      </c>
      <c r="G150" s="165">
        <f>VLOOKUP($D$2:$D$273,Varelager!$A$2:$D$31,3)</f>
        <v>16.940000000000001</v>
      </c>
      <c r="H150" s="166">
        <f t="shared" si="8"/>
        <v>27002.36</v>
      </c>
      <c r="I150" s="18">
        <f t="shared" si="9"/>
        <v>2005</v>
      </c>
      <c r="J150" s="18">
        <f t="shared" si="10"/>
        <v>3</v>
      </c>
      <c r="K150" s="166">
        <f t="shared" si="11"/>
        <v>1</v>
      </c>
    </row>
    <row r="151" spans="1:11" x14ac:dyDescent="0.2">
      <c r="A151" s="8">
        <v>5137</v>
      </c>
      <c r="B151" s="4">
        <v>4</v>
      </c>
      <c r="C151" s="3">
        <v>38442</v>
      </c>
      <c r="D151" t="s">
        <v>69</v>
      </c>
      <c r="E151" s="6">
        <v>554</v>
      </c>
      <c r="F151" s="165">
        <f>VLOOKUP($D$2:$D$273,Varelager!$A$2:$D$31,4)</f>
        <v>30.002954638333001</v>
      </c>
      <c r="G151" s="165">
        <f>VLOOKUP($D$2:$D$273,Varelager!$A$2:$D$31,3)</f>
        <v>35</v>
      </c>
      <c r="H151" s="166">
        <f t="shared" si="8"/>
        <v>19390</v>
      </c>
      <c r="I151" s="18">
        <f t="shared" si="9"/>
        <v>2005</v>
      </c>
      <c r="J151" s="18">
        <f t="shared" si="10"/>
        <v>3</v>
      </c>
      <c r="K151" s="166">
        <f t="shared" si="11"/>
        <v>1</v>
      </c>
    </row>
    <row r="152" spans="1:11" x14ac:dyDescent="0.2">
      <c r="A152" s="8">
        <v>5137</v>
      </c>
      <c r="B152" s="4">
        <v>5</v>
      </c>
      <c r="C152" s="3">
        <v>38442</v>
      </c>
      <c r="D152" t="s">
        <v>76</v>
      </c>
      <c r="E152" s="6">
        <v>1227</v>
      </c>
      <c r="F152" s="165">
        <f>VLOOKUP($D$2:$D$273,Varelager!$A$2:$D$31,4)</f>
        <v>5.004390986602</v>
      </c>
      <c r="G152" s="165">
        <f>VLOOKUP($D$2:$D$273,Varelager!$A$2:$D$31,3)</f>
        <v>10</v>
      </c>
      <c r="H152" s="166">
        <f t="shared" si="8"/>
        <v>12270</v>
      </c>
      <c r="I152" s="18">
        <f t="shared" si="9"/>
        <v>2005</v>
      </c>
      <c r="J152" s="18">
        <f t="shared" si="10"/>
        <v>3</v>
      </c>
      <c r="K152" s="166">
        <f t="shared" si="11"/>
        <v>1</v>
      </c>
    </row>
    <row r="153" spans="1:11" x14ac:dyDescent="0.2">
      <c r="A153" s="8">
        <v>5132</v>
      </c>
      <c r="B153" s="4">
        <v>1</v>
      </c>
      <c r="C153" s="3">
        <v>38410</v>
      </c>
      <c r="D153" t="s">
        <v>80</v>
      </c>
      <c r="E153" s="6">
        <v>318</v>
      </c>
      <c r="F153" s="165">
        <f>VLOOKUP($D$2:$D$273,Varelager!$A$2:$D$31,4)</f>
        <v>8.7344200000000001</v>
      </c>
      <c r="G153" s="165">
        <f>VLOOKUP($D$2:$D$273,Varelager!$A$2:$D$31,3)</f>
        <v>14.63</v>
      </c>
      <c r="H153" s="166">
        <f t="shared" si="8"/>
        <v>4652.34</v>
      </c>
      <c r="I153" s="18">
        <f t="shared" si="9"/>
        <v>2005</v>
      </c>
      <c r="J153" s="18">
        <f t="shared" si="10"/>
        <v>2</v>
      </c>
      <c r="K153" s="166">
        <f t="shared" si="11"/>
        <v>1</v>
      </c>
    </row>
    <row r="154" spans="1:11" x14ac:dyDescent="0.2">
      <c r="A154" s="8">
        <v>5115</v>
      </c>
      <c r="B154" s="4">
        <v>1</v>
      </c>
      <c r="C154" s="3">
        <v>38383</v>
      </c>
      <c r="D154" t="s">
        <v>69</v>
      </c>
      <c r="E154" s="6">
        <v>1069</v>
      </c>
      <c r="F154" s="165">
        <f>VLOOKUP($D$2:$D$273,Varelager!$A$2:$D$31,4)</f>
        <v>30.002954638333001</v>
      </c>
      <c r="G154" s="165">
        <f>VLOOKUP($D$2:$D$273,Varelager!$A$2:$D$31,3)</f>
        <v>35</v>
      </c>
      <c r="H154" s="166">
        <f t="shared" si="8"/>
        <v>37415</v>
      </c>
      <c r="I154" s="18">
        <f t="shared" si="9"/>
        <v>2005</v>
      </c>
      <c r="J154" s="18">
        <f t="shared" si="10"/>
        <v>1</v>
      </c>
      <c r="K154" s="166">
        <f t="shared" si="11"/>
        <v>1</v>
      </c>
    </row>
    <row r="155" spans="1:11" x14ac:dyDescent="0.2">
      <c r="A155" s="8">
        <v>5115</v>
      </c>
      <c r="B155" s="4">
        <v>2</v>
      </c>
      <c r="C155" s="3">
        <v>38383</v>
      </c>
      <c r="D155" t="s">
        <v>80</v>
      </c>
      <c r="E155" s="6">
        <v>321</v>
      </c>
      <c r="F155" s="165">
        <f>VLOOKUP($D$2:$D$273,Varelager!$A$2:$D$31,4)</f>
        <v>8.7344200000000001</v>
      </c>
      <c r="G155" s="165">
        <f>VLOOKUP($D$2:$D$273,Varelager!$A$2:$D$31,3)</f>
        <v>14.63</v>
      </c>
      <c r="H155" s="166">
        <f t="shared" si="8"/>
        <v>4696.2300000000005</v>
      </c>
      <c r="I155" s="18">
        <f t="shared" si="9"/>
        <v>2005</v>
      </c>
      <c r="J155" s="18">
        <f t="shared" si="10"/>
        <v>1</v>
      </c>
      <c r="K155" s="166">
        <f t="shared" si="11"/>
        <v>1</v>
      </c>
    </row>
    <row r="156" spans="1:11" x14ac:dyDescent="0.2">
      <c r="A156" s="8">
        <v>5114</v>
      </c>
      <c r="B156" s="4">
        <v>1</v>
      </c>
      <c r="C156" s="3">
        <v>38383</v>
      </c>
      <c r="D156" t="s">
        <v>71</v>
      </c>
      <c r="E156" s="6">
        <v>1910</v>
      </c>
      <c r="F156" s="165">
        <f>VLOOKUP($D$2:$D$273,Varelager!$A$2:$D$31,4)</f>
        <v>7.52</v>
      </c>
      <c r="G156" s="165">
        <f>VLOOKUP($D$2:$D$273,Varelager!$A$2:$D$31,3)</f>
        <v>16.940000000000001</v>
      </c>
      <c r="H156" s="166">
        <f t="shared" si="8"/>
        <v>32355.4</v>
      </c>
      <c r="I156" s="18">
        <f t="shared" si="9"/>
        <v>2005</v>
      </c>
      <c r="J156" s="18">
        <f t="shared" si="10"/>
        <v>1</v>
      </c>
      <c r="K156" s="166">
        <f t="shared" si="11"/>
        <v>1</v>
      </c>
    </row>
    <row r="157" spans="1:11" x14ac:dyDescent="0.2">
      <c r="A157" s="8">
        <v>5114</v>
      </c>
      <c r="B157" s="4">
        <v>2</v>
      </c>
      <c r="C157" s="3">
        <v>38383</v>
      </c>
      <c r="D157" t="s">
        <v>80</v>
      </c>
      <c r="E157" s="6">
        <v>1534</v>
      </c>
      <c r="F157" s="165">
        <f>VLOOKUP($D$2:$D$273,Varelager!$A$2:$D$31,4)</f>
        <v>8.7344200000000001</v>
      </c>
      <c r="G157" s="165">
        <f>VLOOKUP($D$2:$D$273,Varelager!$A$2:$D$31,3)</f>
        <v>14.63</v>
      </c>
      <c r="H157" s="166">
        <f t="shared" si="8"/>
        <v>22442.420000000002</v>
      </c>
      <c r="I157" s="18">
        <f t="shared" si="9"/>
        <v>2005</v>
      </c>
      <c r="J157" s="18">
        <f t="shared" si="10"/>
        <v>1</v>
      </c>
      <c r="K157" s="166">
        <f t="shared" si="11"/>
        <v>1</v>
      </c>
    </row>
    <row r="158" spans="1:11" x14ac:dyDescent="0.2">
      <c r="A158" s="8">
        <v>5110</v>
      </c>
      <c r="B158" s="4">
        <v>1</v>
      </c>
      <c r="C158" s="3">
        <v>38352</v>
      </c>
      <c r="D158" t="s">
        <v>82</v>
      </c>
      <c r="E158" s="6">
        <v>1213</v>
      </c>
      <c r="F158" s="165">
        <f>VLOOKUP($D$2:$D$273,Varelager!$A$2:$D$31,4)</f>
        <v>1.5080640000000001</v>
      </c>
      <c r="G158" s="165">
        <f>VLOOKUP($D$2:$D$273,Varelager!$A$2:$D$31,3)</f>
        <v>3</v>
      </c>
      <c r="H158" s="166">
        <f t="shared" si="8"/>
        <v>3639</v>
      </c>
      <c r="I158" s="18">
        <f t="shared" si="9"/>
        <v>2004</v>
      </c>
      <c r="J158" s="18">
        <f t="shared" si="10"/>
        <v>12</v>
      </c>
      <c r="K158" s="166">
        <f t="shared" si="11"/>
        <v>4</v>
      </c>
    </row>
    <row r="159" spans="1:11" x14ac:dyDescent="0.2">
      <c r="A159" s="8">
        <v>5110</v>
      </c>
      <c r="B159" s="4">
        <v>3</v>
      </c>
      <c r="C159" s="3">
        <v>38352</v>
      </c>
      <c r="D159" t="s">
        <v>82</v>
      </c>
      <c r="E159" s="6">
        <v>1859</v>
      </c>
      <c r="F159" s="165">
        <f>VLOOKUP($D$2:$D$273,Varelager!$A$2:$D$31,4)</f>
        <v>1.5080640000000001</v>
      </c>
      <c r="G159" s="165">
        <f>VLOOKUP($D$2:$D$273,Varelager!$A$2:$D$31,3)</f>
        <v>3</v>
      </c>
      <c r="H159" s="166">
        <f t="shared" si="8"/>
        <v>5577</v>
      </c>
      <c r="I159" s="18">
        <f t="shared" si="9"/>
        <v>2004</v>
      </c>
      <c r="J159" s="18">
        <f t="shared" si="10"/>
        <v>12</v>
      </c>
      <c r="K159" s="166">
        <f t="shared" si="11"/>
        <v>4</v>
      </c>
    </row>
    <row r="160" spans="1:11" x14ac:dyDescent="0.2">
      <c r="A160" s="8">
        <v>5110</v>
      </c>
      <c r="B160" s="4">
        <v>6</v>
      </c>
      <c r="C160" s="3">
        <v>38352</v>
      </c>
      <c r="D160" t="s">
        <v>77</v>
      </c>
      <c r="E160" s="6">
        <v>1704</v>
      </c>
      <c r="F160" s="165">
        <f>VLOOKUP($D$2:$D$273,Varelager!$A$2:$D$31,4)</f>
        <v>6.26</v>
      </c>
      <c r="G160" s="165">
        <f>VLOOKUP($D$2:$D$273,Varelager!$A$2:$D$31,3)</f>
        <v>12.18</v>
      </c>
      <c r="H160" s="166">
        <f t="shared" si="8"/>
        <v>20754.72</v>
      </c>
      <c r="I160" s="18">
        <f t="shared" si="9"/>
        <v>2004</v>
      </c>
      <c r="J160" s="18">
        <f t="shared" si="10"/>
        <v>12</v>
      </c>
      <c r="K160" s="166">
        <f t="shared" si="11"/>
        <v>4</v>
      </c>
    </row>
    <row r="161" spans="1:11" x14ac:dyDescent="0.2">
      <c r="A161" s="8">
        <v>5110</v>
      </c>
      <c r="B161" s="4">
        <v>7</v>
      </c>
      <c r="C161" s="3">
        <v>38352</v>
      </c>
      <c r="D161" t="s">
        <v>69</v>
      </c>
      <c r="E161" s="6">
        <v>1</v>
      </c>
      <c r="F161" s="165">
        <f>VLOOKUP($D$2:$D$273,Varelager!$A$2:$D$31,4)</f>
        <v>30.002954638333001</v>
      </c>
      <c r="G161" s="165">
        <f>VLOOKUP($D$2:$D$273,Varelager!$A$2:$D$31,3)</f>
        <v>35</v>
      </c>
      <c r="H161" s="166">
        <f t="shared" si="8"/>
        <v>35</v>
      </c>
      <c r="I161" s="18">
        <f t="shared" si="9"/>
        <v>2004</v>
      </c>
      <c r="J161" s="18">
        <f t="shared" si="10"/>
        <v>12</v>
      </c>
      <c r="K161" s="166">
        <f t="shared" si="11"/>
        <v>4</v>
      </c>
    </row>
    <row r="162" spans="1:11" x14ac:dyDescent="0.2">
      <c r="A162" s="8">
        <v>5089</v>
      </c>
      <c r="B162" s="4">
        <v>1</v>
      </c>
      <c r="C162" s="3">
        <v>38290</v>
      </c>
      <c r="D162" t="s">
        <v>82</v>
      </c>
      <c r="E162" s="6">
        <v>1772</v>
      </c>
      <c r="F162" s="165">
        <f>VLOOKUP($D$2:$D$273,Varelager!$A$2:$D$31,4)</f>
        <v>1.5080640000000001</v>
      </c>
      <c r="G162" s="165">
        <f>VLOOKUP($D$2:$D$273,Varelager!$A$2:$D$31,3)</f>
        <v>3</v>
      </c>
      <c r="H162" s="166">
        <f t="shared" si="8"/>
        <v>5316</v>
      </c>
      <c r="I162" s="18">
        <f t="shared" si="9"/>
        <v>2004</v>
      </c>
      <c r="J162" s="18">
        <f t="shared" si="10"/>
        <v>10</v>
      </c>
      <c r="K162" s="166">
        <f t="shared" si="11"/>
        <v>4</v>
      </c>
    </row>
    <row r="163" spans="1:11" x14ac:dyDescent="0.2">
      <c r="A163" s="8">
        <v>5089</v>
      </c>
      <c r="B163" s="4">
        <v>3</v>
      </c>
      <c r="C163" s="3">
        <v>38290</v>
      </c>
      <c r="D163" t="s">
        <v>80</v>
      </c>
      <c r="E163" s="6">
        <v>1613</v>
      </c>
      <c r="F163" s="165">
        <f>VLOOKUP($D$2:$D$273,Varelager!$A$2:$D$31,4)</f>
        <v>8.7344200000000001</v>
      </c>
      <c r="G163" s="165">
        <f>VLOOKUP($D$2:$D$273,Varelager!$A$2:$D$31,3)</f>
        <v>14.63</v>
      </c>
      <c r="H163" s="166">
        <f t="shared" si="8"/>
        <v>23598.190000000002</v>
      </c>
      <c r="I163" s="18">
        <f t="shared" si="9"/>
        <v>2004</v>
      </c>
      <c r="J163" s="18">
        <f t="shared" si="10"/>
        <v>10</v>
      </c>
      <c r="K163" s="166">
        <f t="shared" si="11"/>
        <v>4</v>
      </c>
    </row>
    <row r="164" spans="1:11" x14ac:dyDescent="0.2">
      <c r="A164" s="8">
        <v>5089</v>
      </c>
      <c r="B164" s="4">
        <v>6</v>
      </c>
      <c r="C164" s="3">
        <v>38290</v>
      </c>
      <c r="D164" t="s">
        <v>80</v>
      </c>
      <c r="E164" s="6">
        <v>1240</v>
      </c>
      <c r="F164" s="165">
        <f>VLOOKUP($D$2:$D$273,Varelager!$A$2:$D$31,4)</f>
        <v>8.7344200000000001</v>
      </c>
      <c r="G164" s="165">
        <f>VLOOKUP($D$2:$D$273,Varelager!$A$2:$D$31,3)</f>
        <v>14.63</v>
      </c>
      <c r="H164" s="166">
        <f t="shared" si="8"/>
        <v>18141.2</v>
      </c>
      <c r="I164" s="18">
        <f t="shared" si="9"/>
        <v>2004</v>
      </c>
      <c r="J164" s="18">
        <f t="shared" si="10"/>
        <v>10</v>
      </c>
      <c r="K164" s="166">
        <f t="shared" si="11"/>
        <v>4</v>
      </c>
    </row>
    <row r="165" spans="1:11" x14ac:dyDescent="0.2">
      <c r="A165" s="8">
        <v>5077</v>
      </c>
      <c r="B165" s="4">
        <v>2</v>
      </c>
      <c r="C165" s="3">
        <v>38260</v>
      </c>
      <c r="D165" t="s">
        <v>82</v>
      </c>
      <c r="E165" s="6">
        <v>1174</v>
      </c>
      <c r="F165" s="165">
        <f>VLOOKUP($D$2:$D$273,Varelager!$A$2:$D$31,4)</f>
        <v>1.5080640000000001</v>
      </c>
      <c r="G165" s="165">
        <f>VLOOKUP($D$2:$D$273,Varelager!$A$2:$D$31,3)</f>
        <v>3</v>
      </c>
      <c r="H165" s="166">
        <f t="shared" si="8"/>
        <v>3522</v>
      </c>
      <c r="I165" s="18">
        <f t="shared" si="9"/>
        <v>2004</v>
      </c>
      <c r="J165" s="18">
        <f t="shared" si="10"/>
        <v>9</v>
      </c>
      <c r="K165" s="166">
        <f t="shared" si="11"/>
        <v>3</v>
      </c>
    </row>
    <row r="166" spans="1:11" x14ac:dyDescent="0.2">
      <c r="A166" s="8">
        <v>5077</v>
      </c>
      <c r="B166" s="4">
        <v>3</v>
      </c>
      <c r="C166" s="3">
        <v>38260</v>
      </c>
      <c r="D166" t="s">
        <v>80</v>
      </c>
      <c r="E166" s="6">
        <v>1713</v>
      </c>
      <c r="F166" s="165">
        <f>VLOOKUP($D$2:$D$273,Varelager!$A$2:$D$31,4)</f>
        <v>8.7344200000000001</v>
      </c>
      <c r="G166" s="165">
        <f>VLOOKUP($D$2:$D$273,Varelager!$A$2:$D$31,3)</f>
        <v>14.63</v>
      </c>
      <c r="H166" s="166">
        <f t="shared" si="8"/>
        <v>25061.190000000002</v>
      </c>
      <c r="I166" s="18">
        <f t="shared" si="9"/>
        <v>2004</v>
      </c>
      <c r="J166" s="18">
        <f t="shared" si="10"/>
        <v>9</v>
      </c>
      <c r="K166" s="166">
        <f t="shared" si="11"/>
        <v>3</v>
      </c>
    </row>
    <row r="167" spans="1:11" x14ac:dyDescent="0.2">
      <c r="A167" s="8">
        <v>5077</v>
      </c>
      <c r="B167" s="4">
        <v>4</v>
      </c>
      <c r="C167" s="3">
        <v>38260</v>
      </c>
      <c r="D167" t="s">
        <v>80</v>
      </c>
      <c r="E167" s="6">
        <v>994</v>
      </c>
      <c r="F167" s="165">
        <f>VLOOKUP($D$2:$D$273,Varelager!$A$2:$D$31,4)</f>
        <v>8.7344200000000001</v>
      </c>
      <c r="G167" s="165">
        <f>VLOOKUP($D$2:$D$273,Varelager!$A$2:$D$31,3)</f>
        <v>14.63</v>
      </c>
      <c r="H167" s="166">
        <f t="shared" si="8"/>
        <v>14542.220000000001</v>
      </c>
      <c r="I167" s="18">
        <f t="shared" si="9"/>
        <v>2004</v>
      </c>
      <c r="J167" s="18">
        <f t="shared" si="10"/>
        <v>9</v>
      </c>
      <c r="K167" s="166">
        <f t="shared" si="11"/>
        <v>3</v>
      </c>
    </row>
    <row r="168" spans="1:11" x14ac:dyDescent="0.2">
      <c r="A168" s="8">
        <v>5077</v>
      </c>
      <c r="B168" s="4">
        <v>5</v>
      </c>
      <c r="C168" s="3">
        <v>38260</v>
      </c>
      <c r="D168" t="s">
        <v>69</v>
      </c>
      <c r="E168" s="6">
        <v>147</v>
      </c>
      <c r="F168" s="165">
        <f>VLOOKUP($D$2:$D$273,Varelager!$A$2:$D$31,4)</f>
        <v>30.002954638333001</v>
      </c>
      <c r="G168" s="165">
        <f>VLOOKUP($D$2:$D$273,Varelager!$A$2:$D$31,3)</f>
        <v>35</v>
      </c>
      <c r="H168" s="166">
        <f t="shared" si="8"/>
        <v>5145</v>
      </c>
      <c r="I168" s="18">
        <f t="shared" si="9"/>
        <v>2004</v>
      </c>
      <c r="J168" s="18">
        <f t="shared" si="10"/>
        <v>9</v>
      </c>
      <c r="K168" s="166">
        <f t="shared" si="11"/>
        <v>3</v>
      </c>
    </row>
    <row r="169" spans="1:11" x14ac:dyDescent="0.2">
      <c r="A169" s="8">
        <v>5077</v>
      </c>
      <c r="B169" s="4">
        <v>6</v>
      </c>
      <c r="C169" s="3">
        <v>38260</v>
      </c>
      <c r="D169" t="s">
        <v>69</v>
      </c>
      <c r="E169" s="6">
        <v>349</v>
      </c>
      <c r="F169" s="165">
        <f>VLOOKUP($D$2:$D$273,Varelager!$A$2:$D$31,4)</f>
        <v>30.002954638333001</v>
      </c>
      <c r="G169" s="165">
        <f>VLOOKUP($D$2:$D$273,Varelager!$A$2:$D$31,3)</f>
        <v>35</v>
      </c>
      <c r="H169" s="166">
        <f t="shared" si="8"/>
        <v>12215</v>
      </c>
      <c r="I169" s="18">
        <f t="shared" si="9"/>
        <v>2004</v>
      </c>
      <c r="J169" s="18">
        <f t="shared" si="10"/>
        <v>9</v>
      </c>
      <c r="K169" s="166">
        <f t="shared" si="11"/>
        <v>3</v>
      </c>
    </row>
    <row r="170" spans="1:11" x14ac:dyDescent="0.2">
      <c r="A170" s="8">
        <v>5061</v>
      </c>
      <c r="B170" s="4">
        <v>2</v>
      </c>
      <c r="C170" s="3">
        <v>38230</v>
      </c>
      <c r="D170" t="s">
        <v>80</v>
      </c>
      <c r="E170" s="6">
        <v>1402</v>
      </c>
      <c r="F170" s="165">
        <f>VLOOKUP($D$2:$D$273,Varelager!$A$2:$D$31,4)</f>
        <v>8.7344200000000001</v>
      </c>
      <c r="G170" s="165">
        <f>VLOOKUP($D$2:$D$273,Varelager!$A$2:$D$31,3)</f>
        <v>14.63</v>
      </c>
      <c r="H170" s="166">
        <f t="shared" si="8"/>
        <v>20511.260000000002</v>
      </c>
      <c r="I170" s="18">
        <f t="shared" si="9"/>
        <v>2004</v>
      </c>
      <c r="J170" s="18">
        <f t="shared" si="10"/>
        <v>8</v>
      </c>
      <c r="K170" s="166">
        <f t="shared" si="11"/>
        <v>3</v>
      </c>
    </row>
    <row r="171" spans="1:11" x14ac:dyDescent="0.2">
      <c r="A171" s="8">
        <v>5039</v>
      </c>
      <c r="B171" s="4">
        <v>2</v>
      </c>
      <c r="C171" s="3">
        <v>38138</v>
      </c>
      <c r="D171" t="s">
        <v>70</v>
      </c>
      <c r="E171" s="6">
        <v>1666</v>
      </c>
      <c r="F171" s="165">
        <f>VLOOKUP($D$2:$D$273,Varelager!$A$2:$D$31,4)</f>
        <v>6.03</v>
      </c>
      <c r="G171" s="165">
        <f>VLOOKUP($D$2:$D$273,Varelager!$A$2:$D$31,3)</f>
        <v>12.18</v>
      </c>
      <c r="H171" s="166">
        <f t="shared" si="8"/>
        <v>20291.88</v>
      </c>
      <c r="I171" s="18">
        <f t="shared" si="9"/>
        <v>2004</v>
      </c>
      <c r="J171" s="18">
        <f t="shared" si="10"/>
        <v>5</v>
      </c>
      <c r="K171" s="166">
        <f t="shared" si="11"/>
        <v>2</v>
      </c>
    </row>
    <row r="172" spans="1:11" x14ac:dyDescent="0.2">
      <c r="A172" s="8">
        <v>5012</v>
      </c>
      <c r="B172" s="4">
        <v>3</v>
      </c>
      <c r="C172" s="3">
        <v>38077</v>
      </c>
      <c r="D172" t="s">
        <v>77</v>
      </c>
      <c r="E172" s="6">
        <v>1774</v>
      </c>
      <c r="F172" s="165">
        <f>VLOOKUP($D$2:$D$273,Varelager!$A$2:$D$31,4)</f>
        <v>6.26</v>
      </c>
      <c r="G172" s="165">
        <f>VLOOKUP($D$2:$D$273,Varelager!$A$2:$D$31,3)</f>
        <v>12.18</v>
      </c>
      <c r="H172" s="166">
        <f t="shared" si="8"/>
        <v>21607.32</v>
      </c>
      <c r="I172" s="18">
        <f t="shared" si="9"/>
        <v>2004</v>
      </c>
      <c r="J172" s="18">
        <f t="shared" si="10"/>
        <v>3</v>
      </c>
      <c r="K172" s="166">
        <f t="shared" si="11"/>
        <v>1</v>
      </c>
    </row>
    <row r="173" spans="1:11" x14ac:dyDescent="0.2">
      <c r="A173" s="8">
        <v>5249</v>
      </c>
      <c r="B173" s="4">
        <v>1</v>
      </c>
      <c r="C173" s="3">
        <v>38868</v>
      </c>
      <c r="D173" t="s">
        <v>76</v>
      </c>
      <c r="E173" s="6">
        <v>25000</v>
      </c>
      <c r="F173" s="165">
        <f>VLOOKUP($D$2:$D$273,Varelager!$A$2:$D$31,4)</f>
        <v>5.004390986602</v>
      </c>
      <c r="G173" s="165">
        <f>VLOOKUP($D$2:$D$273,Varelager!$A$2:$D$31,3)</f>
        <v>10</v>
      </c>
      <c r="H173" s="166">
        <f t="shared" si="8"/>
        <v>250000</v>
      </c>
      <c r="I173" s="18">
        <f t="shared" si="9"/>
        <v>2006</v>
      </c>
      <c r="J173" s="18">
        <f t="shared" si="10"/>
        <v>5</v>
      </c>
      <c r="K173" s="166">
        <f t="shared" si="11"/>
        <v>2</v>
      </c>
    </row>
    <row r="174" spans="1:11" x14ac:dyDescent="0.2">
      <c r="A174" s="8">
        <v>5249</v>
      </c>
      <c r="B174" s="4">
        <v>2</v>
      </c>
      <c r="C174" s="3">
        <v>38868</v>
      </c>
      <c r="D174" t="s">
        <v>69</v>
      </c>
      <c r="E174" s="6">
        <v>4000</v>
      </c>
      <c r="F174" s="165">
        <f>VLOOKUP($D$2:$D$273,Varelager!$A$2:$D$31,4)</f>
        <v>30.002954638333001</v>
      </c>
      <c r="G174" s="165">
        <f>VLOOKUP($D$2:$D$273,Varelager!$A$2:$D$31,3)</f>
        <v>35</v>
      </c>
      <c r="H174" s="166">
        <f t="shared" si="8"/>
        <v>140000</v>
      </c>
      <c r="I174" s="18">
        <f t="shared" si="9"/>
        <v>2006</v>
      </c>
      <c r="J174" s="18">
        <f t="shared" si="10"/>
        <v>5</v>
      </c>
      <c r="K174" s="166">
        <f t="shared" si="11"/>
        <v>2</v>
      </c>
    </row>
    <row r="175" spans="1:11" x14ac:dyDescent="0.2">
      <c r="A175" s="8">
        <v>5249</v>
      </c>
      <c r="B175" s="4">
        <v>3</v>
      </c>
      <c r="C175" s="3">
        <v>38868</v>
      </c>
      <c r="D175" t="s">
        <v>71</v>
      </c>
      <c r="E175" s="6">
        <v>5000</v>
      </c>
      <c r="F175" s="165">
        <f>VLOOKUP($D$2:$D$273,Varelager!$A$2:$D$31,4)</f>
        <v>7.52</v>
      </c>
      <c r="G175" s="165">
        <f>VLOOKUP($D$2:$D$273,Varelager!$A$2:$D$31,3)</f>
        <v>16.940000000000001</v>
      </c>
      <c r="H175" s="166">
        <f t="shared" si="8"/>
        <v>84700</v>
      </c>
      <c r="I175" s="18">
        <f t="shared" si="9"/>
        <v>2006</v>
      </c>
      <c r="J175" s="18">
        <f t="shared" si="10"/>
        <v>5</v>
      </c>
      <c r="K175" s="166">
        <f t="shared" si="11"/>
        <v>2</v>
      </c>
    </row>
    <row r="176" spans="1:11" x14ac:dyDescent="0.2">
      <c r="A176" s="8">
        <v>5249</v>
      </c>
      <c r="B176" s="4">
        <v>4</v>
      </c>
      <c r="C176" s="3">
        <v>38868</v>
      </c>
      <c r="D176" t="s">
        <v>82</v>
      </c>
      <c r="E176" s="6">
        <v>10000</v>
      </c>
      <c r="F176" s="165">
        <f>VLOOKUP($D$2:$D$273,Varelager!$A$2:$D$31,4)</f>
        <v>1.5080640000000001</v>
      </c>
      <c r="G176" s="165">
        <f>VLOOKUP($D$2:$D$273,Varelager!$A$2:$D$31,3)</f>
        <v>3</v>
      </c>
      <c r="H176" s="166">
        <f t="shared" si="8"/>
        <v>30000</v>
      </c>
      <c r="I176" s="18">
        <f t="shared" si="9"/>
        <v>2006</v>
      </c>
      <c r="J176" s="18">
        <f t="shared" si="10"/>
        <v>5</v>
      </c>
      <c r="K176" s="166">
        <f t="shared" si="11"/>
        <v>2</v>
      </c>
    </row>
    <row r="177" spans="1:11" x14ac:dyDescent="0.2">
      <c r="A177" s="8">
        <v>5239</v>
      </c>
      <c r="B177" s="4">
        <v>1</v>
      </c>
      <c r="C177" s="3">
        <v>39172</v>
      </c>
      <c r="D177" t="s">
        <v>69</v>
      </c>
      <c r="E177" s="6">
        <v>2447</v>
      </c>
      <c r="F177" s="165">
        <f>VLOOKUP($D$2:$D$273,Varelager!$A$2:$D$31,4)</f>
        <v>30.002954638333001</v>
      </c>
      <c r="G177" s="165">
        <f>VLOOKUP($D$2:$D$273,Varelager!$A$2:$D$31,3)</f>
        <v>35</v>
      </c>
      <c r="H177" s="166">
        <f t="shared" si="8"/>
        <v>85645</v>
      </c>
      <c r="I177" s="18">
        <f t="shared" si="9"/>
        <v>2007</v>
      </c>
      <c r="J177" s="18">
        <f t="shared" si="10"/>
        <v>3</v>
      </c>
      <c r="K177" s="166">
        <f t="shared" si="11"/>
        <v>1</v>
      </c>
    </row>
    <row r="178" spans="1:11" x14ac:dyDescent="0.2">
      <c r="A178" s="8">
        <v>5220</v>
      </c>
      <c r="B178" s="4">
        <v>1</v>
      </c>
      <c r="C178" s="3">
        <v>38903</v>
      </c>
      <c r="D178" t="s">
        <v>77</v>
      </c>
      <c r="E178" s="6">
        <v>1943</v>
      </c>
      <c r="F178" s="165">
        <f>VLOOKUP($D$2:$D$273,Varelager!$A$2:$D$31,4)</f>
        <v>6.26</v>
      </c>
      <c r="G178" s="165">
        <f>VLOOKUP($D$2:$D$273,Varelager!$A$2:$D$31,3)</f>
        <v>12.18</v>
      </c>
      <c r="H178" s="166">
        <f t="shared" si="8"/>
        <v>23665.739999999998</v>
      </c>
      <c r="I178" s="18">
        <f t="shared" si="9"/>
        <v>2006</v>
      </c>
      <c r="J178" s="18">
        <f t="shared" si="10"/>
        <v>7</v>
      </c>
      <c r="K178" s="166">
        <f t="shared" si="11"/>
        <v>3</v>
      </c>
    </row>
    <row r="179" spans="1:11" x14ac:dyDescent="0.2">
      <c r="A179" s="8">
        <v>5219</v>
      </c>
      <c r="B179" s="4">
        <v>1</v>
      </c>
      <c r="C179" s="3">
        <v>38904</v>
      </c>
      <c r="D179" t="s">
        <v>77</v>
      </c>
      <c r="E179" s="6">
        <v>719</v>
      </c>
      <c r="F179" s="165">
        <f>VLOOKUP($D$2:$D$273,Varelager!$A$2:$D$31,4)</f>
        <v>6.26</v>
      </c>
      <c r="G179" s="165">
        <f>VLOOKUP($D$2:$D$273,Varelager!$A$2:$D$31,3)</f>
        <v>12.18</v>
      </c>
      <c r="H179" s="166">
        <f t="shared" si="8"/>
        <v>8757.42</v>
      </c>
      <c r="I179" s="18">
        <f t="shared" si="9"/>
        <v>2006</v>
      </c>
      <c r="J179" s="18">
        <f t="shared" si="10"/>
        <v>7</v>
      </c>
      <c r="K179" s="166">
        <f t="shared" si="11"/>
        <v>3</v>
      </c>
    </row>
    <row r="180" spans="1:11" x14ac:dyDescent="0.2">
      <c r="A180" s="8">
        <v>5206</v>
      </c>
      <c r="B180" s="4">
        <v>2</v>
      </c>
      <c r="C180" s="3">
        <v>38741</v>
      </c>
      <c r="D180" t="s">
        <v>69</v>
      </c>
      <c r="E180" s="6">
        <v>840</v>
      </c>
      <c r="F180" s="165">
        <f>VLOOKUP($D$2:$D$273,Varelager!$A$2:$D$31,4)</f>
        <v>30.002954638333001</v>
      </c>
      <c r="G180" s="165">
        <f>VLOOKUP($D$2:$D$273,Varelager!$A$2:$D$31,3)</f>
        <v>35</v>
      </c>
      <c r="H180" s="166">
        <f t="shared" si="8"/>
        <v>29400</v>
      </c>
      <c r="I180" s="18">
        <f t="shared" si="9"/>
        <v>2006</v>
      </c>
      <c r="J180" s="18">
        <f t="shared" si="10"/>
        <v>1</v>
      </c>
      <c r="K180" s="166">
        <f t="shared" si="11"/>
        <v>1</v>
      </c>
    </row>
    <row r="181" spans="1:11" x14ac:dyDescent="0.2">
      <c r="A181" s="8">
        <v>5195</v>
      </c>
      <c r="B181" s="4">
        <v>4</v>
      </c>
      <c r="C181" s="3">
        <v>38595</v>
      </c>
      <c r="D181" t="s">
        <v>77</v>
      </c>
      <c r="E181" s="6">
        <v>690</v>
      </c>
      <c r="F181" s="165">
        <f>VLOOKUP($D$2:$D$273,Varelager!$A$2:$D$31,4)</f>
        <v>6.26</v>
      </c>
      <c r="G181" s="165">
        <f>VLOOKUP($D$2:$D$273,Varelager!$A$2:$D$31,3)</f>
        <v>12.18</v>
      </c>
      <c r="H181" s="166">
        <f t="shared" si="8"/>
        <v>8404.1999999999989</v>
      </c>
      <c r="I181" s="18">
        <f t="shared" si="9"/>
        <v>2005</v>
      </c>
      <c r="J181" s="18">
        <f t="shared" si="10"/>
        <v>8</v>
      </c>
      <c r="K181" s="166">
        <f t="shared" si="11"/>
        <v>3</v>
      </c>
    </row>
    <row r="182" spans="1:11" x14ac:dyDescent="0.2">
      <c r="A182" s="8">
        <v>5195</v>
      </c>
      <c r="B182" s="4">
        <v>5</v>
      </c>
      <c r="C182" s="3">
        <v>38595</v>
      </c>
      <c r="D182" t="s">
        <v>82</v>
      </c>
      <c r="E182" s="6">
        <v>101</v>
      </c>
      <c r="F182" s="165">
        <f>VLOOKUP($D$2:$D$273,Varelager!$A$2:$D$31,4)</f>
        <v>1.5080640000000001</v>
      </c>
      <c r="G182" s="165">
        <f>VLOOKUP($D$2:$D$273,Varelager!$A$2:$D$31,3)</f>
        <v>3</v>
      </c>
      <c r="H182" s="166">
        <f t="shared" si="8"/>
        <v>303</v>
      </c>
      <c r="I182" s="18">
        <f t="shared" si="9"/>
        <v>2005</v>
      </c>
      <c r="J182" s="18">
        <f t="shared" si="10"/>
        <v>8</v>
      </c>
      <c r="K182" s="166">
        <f t="shared" si="11"/>
        <v>3</v>
      </c>
    </row>
    <row r="183" spans="1:11" x14ac:dyDescent="0.2">
      <c r="A183" s="8">
        <v>5195</v>
      </c>
      <c r="B183" s="4">
        <v>6</v>
      </c>
      <c r="C183" s="3">
        <v>38595</v>
      </c>
      <c r="D183" t="s">
        <v>77</v>
      </c>
      <c r="E183" s="6">
        <v>1643</v>
      </c>
      <c r="F183" s="165">
        <f>VLOOKUP($D$2:$D$273,Varelager!$A$2:$D$31,4)</f>
        <v>6.26</v>
      </c>
      <c r="G183" s="165">
        <f>VLOOKUP($D$2:$D$273,Varelager!$A$2:$D$31,3)</f>
        <v>12.18</v>
      </c>
      <c r="H183" s="166">
        <f t="shared" si="8"/>
        <v>20011.739999999998</v>
      </c>
      <c r="I183" s="18">
        <f t="shared" si="9"/>
        <v>2005</v>
      </c>
      <c r="J183" s="18">
        <f t="shared" si="10"/>
        <v>8</v>
      </c>
      <c r="K183" s="166">
        <f t="shared" si="11"/>
        <v>3</v>
      </c>
    </row>
    <row r="184" spans="1:11" x14ac:dyDescent="0.2">
      <c r="A184" s="8">
        <v>5195</v>
      </c>
      <c r="B184" s="4">
        <v>7</v>
      </c>
      <c r="C184" s="3">
        <v>38595</v>
      </c>
      <c r="D184" t="s">
        <v>77</v>
      </c>
      <c r="E184" s="6">
        <v>276</v>
      </c>
      <c r="F184" s="165">
        <f>VLOOKUP($D$2:$D$273,Varelager!$A$2:$D$31,4)</f>
        <v>6.26</v>
      </c>
      <c r="G184" s="165">
        <f>VLOOKUP($D$2:$D$273,Varelager!$A$2:$D$31,3)</f>
        <v>12.18</v>
      </c>
      <c r="H184" s="166">
        <f t="shared" si="8"/>
        <v>3361.68</v>
      </c>
      <c r="I184" s="18">
        <f t="shared" si="9"/>
        <v>2005</v>
      </c>
      <c r="J184" s="18">
        <f t="shared" si="10"/>
        <v>8</v>
      </c>
      <c r="K184" s="166">
        <f t="shared" si="11"/>
        <v>3</v>
      </c>
    </row>
    <row r="185" spans="1:11" x14ac:dyDescent="0.2">
      <c r="A185" s="8">
        <v>5195</v>
      </c>
      <c r="B185" s="4">
        <v>8</v>
      </c>
      <c r="C185" s="3">
        <v>38595</v>
      </c>
      <c r="D185" t="s">
        <v>69</v>
      </c>
      <c r="E185" s="6">
        <v>669</v>
      </c>
      <c r="F185" s="165">
        <f>VLOOKUP($D$2:$D$273,Varelager!$A$2:$D$31,4)</f>
        <v>30.002954638333001</v>
      </c>
      <c r="G185" s="165">
        <f>VLOOKUP($D$2:$D$273,Varelager!$A$2:$D$31,3)</f>
        <v>35</v>
      </c>
      <c r="H185" s="166">
        <f t="shared" si="8"/>
        <v>23415</v>
      </c>
      <c r="I185" s="18">
        <f t="shared" si="9"/>
        <v>2005</v>
      </c>
      <c r="J185" s="18">
        <f t="shared" si="10"/>
        <v>8</v>
      </c>
      <c r="K185" s="166">
        <f t="shared" si="11"/>
        <v>3</v>
      </c>
    </row>
    <row r="186" spans="1:11" x14ac:dyDescent="0.2">
      <c r="A186" s="8">
        <v>5171</v>
      </c>
      <c r="B186" s="4">
        <v>2</v>
      </c>
      <c r="C186" s="3">
        <v>38533</v>
      </c>
      <c r="D186" t="s">
        <v>82</v>
      </c>
      <c r="E186" s="6">
        <v>1482</v>
      </c>
      <c r="F186" s="165">
        <f>VLOOKUP($D$2:$D$273,Varelager!$A$2:$D$31,4)</f>
        <v>1.5080640000000001</v>
      </c>
      <c r="G186" s="165">
        <f>VLOOKUP($D$2:$D$273,Varelager!$A$2:$D$31,3)</f>
        <v>3</v>
      </c>
      <c r="H186" s="166">
        <f t="shared" si="8"/>
        <v>4446</v>
      </c>
      <c r="I186" s="18">
        <f t="shared" si="9"/>
        <v>2005</v>
      </c>
      <c r="J186" s="18">
        <f t="shared" si="10"/>
        <v>6</v>
      </c>
      <c r="K186" s="166">
        <f t="shared" si="11"/>
        <v>2</v>
      </c>
    </row>
    <row r="187" spans="1:11" x14ac:dyDescent="0.2">
      <c r="A187" s="8">
        <v>5171</v>
      </c>
      <c r="B187" s="4">
        <v>3</v>
      </c>
      <c r="C187" s="3">
        <v>38533</v>
      </c>
      <c r="D187" t="s">
        <v>69</v>
      </c>
      <c r="E187" s="6">
        <v>245</v>
      </c>
      <c r="F187" s="165">
        <f>VLOOKUP($D$2:$D$273,Varelager!$A$2:$D$31,4)</f>
        <v>30.002954638333001</v>
      </c>
      <c r="G187" s="165">
        <f>VLOOKUP($D$2:$D$273,Varelager!$A$2:$D$31,3)</f>
        <v>35</v>
      </c>
      <c r="H187" s="166">
        <f t="shared" si="8"/>
        <v>8575</v>
      </c>
      <c r="I187" s="18">
        <f t="shared" si="9"/>
        <v>2005</v>
      </c>
      <c r="J187" s="18">
        <f t="shared" si="10"/>
        <v>6</v>
      </c>
      <c r="K187" s="166">
        <f t="shared" si="11"/>
        <v>2</v>
      </c>
    </row>
    <row r="188" spans="1:11" x14ac:dyDescent="0.2">
      <c r="A188" s="8">
        <v>5171</v>
      </c>
      <c r="B188" s="4">
        <v>4</v>
      </c>
      <c r="C188" s="3">
        <v>38533</v>
      </c>
      <c r="D188" t="s">
        <v>80</v>
      </c>
      <c r="E188" s="6">
        <v>216</v>
      </c>
      <c r="F188" s="165">
        <f>VLOOKUP($D$2:$D$273,Varelager!$A$2:$D$31,4)</f>
        <v>8.7344200000000001</v>
      </c>
      <c r="G188" s="165">
        <f>VLOOKUP($D$2:$D$273,Varelager!$A$2:$D$31,3)</f>
        <v>14.63</v>
      </c>
      <c r="H188" s="166">
        <f t="shared" si="8"/>
        <v>3160.0800000000004</v>
      </c>
      <c r="I188" s="18">
        <f t="shared" si="9"/>
        <v>2005</v>
      </c>
      <c r="J188" s="18">
        <f t="shared" si="10"/>
        <v>6</v>
      </c>
      <c r="K188" s="166">
        <f t="shared" si="11"/>
        <v>2</v>
      </c>
    </row>
    <row r="189" spans="1:11" x14ac:dyDescent="0.2">
      <c r="A189" s="8">
        <v>5165</v>
      </c>
      <c r="B189" s="4">
        <v>1</v>
      </c>
      <c r="C189" s="3">
        <v>38533</v>
      </c>
      <c r="D189" t="s">
        <v>80</v>
      </c>
      <c r="E189" s="6">
        <v>1892</v>
      </c>
      <c r="F189" s="165">
        <f>VLOOKUP($D$2:$D$273,Varelager!$A$2:$D$31,4)</f>
        <v>8.7344200000000001</v>
      </c>
      <c r="G189" s="165">
        <f>VLOOKUP($D$2:$D$273,Varelager!$A$2:$D$31,3)</f>
        <v>14.63</v>
      </c>
      <c r="H189" s="166">
        <f t="shared" si="8"/>
        <v>27679.960000000003</v>
      </c>
      <c r="I189" s="18">
        <f t="shared" si="9"/>
        <v>2005</v>
      </c>
      <c r="J189" s="18">
        <f t="shared" si="10"/>
        <v>6</v>
      </c>
      <c r="K189" s="166">
        <f t="shared" si="11"/>
        <v>2</v>
      </c>
    </row>
    <row r="190" spans="1:11" x14ac:dyDescent="0.2">
      <c r="A190" s="8">
        <v>5165</v>
      </c>
      <c r="B190" s="4">
        <v>2</v>
      </c>
      <c r="C190" s="3">
        <v>38533</v>
      </c>
      <c r="D190" t="s">
        <v>76</v>
      </c>
      <c r="E190" s="6">
        <v>1605</v>
      </c>
      <c r="F190" s="165">
        <f>VLOOKUP($D$2:$D$273,Varelager!$A$2:$D$31,4)</f>
        <v>5.004390986602</v>
      </c>
      <c r="G190" s="165">
        <f>VLOOKUP($D$2:$D$273,Varelager!$A$2:$D$31,3)</f>
        <v>10</v>
      </c>
      <c r="H190" s="166">
        <f t="shared" si="8"/>
        <v>16050</v>
      </c>
      <c r="I190" s="18">
        <f t="shared" si="9"/>
        <v>2005</v>
      </c>
      <c r="J190" s="18">
        <f t="shared" si="10"/>
        <v>6</v>
      </c>
      <c r="K190" s="166">
        <f t="shared" si="11"/>
        <v>2</v>
      </c>
    </row>
    <row r="191" spans="1:11" x14ac:dyDescent="0.2">
      <c r="A191" s="8">
        <v>5163</v>
      </c>
      <c r="B191" s="4">
        <v>2</v>
      </c>
      <c r="C191" s="3">
        <v>38533</v>
      </c>
      <c r="D191" t="s">
        <v>82</v>
      </c>
      <c r="E191" s="6">
        <v>1853</v>
      </c>
      <c r="F191" s="165">
        <f>VLOOKUP($D$2:$D$273,Varelager!$A$2:$D$31,4)</f>
        <v>1.5080640000000001</v>
      </c>
      <c r="G191" s="165">
        <f>VLOOKUP($D$2:$D$273,Varelager!$A$2:$D$31,3)</f>
        <v>3</v>
      </c>
      <c r="H191" s="166">
        <f t="shared" si="8"/>
        <v>5559</v>
      </c>
      <c r="I191" s="18">
        <f t="shared" si="9"/>
        <v>2005</v>
      </c>
      <c r="J191" s="18">
        <f t="shared" si="10"/>
        <v>6</v>
      </c>
      <c r="K191" s="166">
        <f t="shared" si="11"/>
        <v>2</v>
      </c>
    </row>
    <row r="192" spans="1:11" x14ac:dyDescent="0.2">
      <c r="A192" s="8">
        <v>5163</v>
      </c>
      <c r="B192" s="4">
        <v>3</v>
      </c>
      <c r="C192" s="3">
        <v>38533</v>
      </c>
      <c r="D192" t="s">
        <v>70</v>
      </c>
      <c r="E192" s="6">
        <v>1776</v>
      </c>
      <c r="F192" s="165">
        <f>VLOOKUP($D$2:$D$273,Varelager!$A$2:$D$31,4)</f>
        <v>6.03</v>
      </c>
      <c r="G192" s="165">
        <f>VLOOKUP($D$2:$D$273,Varelager!$A$2:$D$31,3)</f>
        <v>12.18</v>
      </c>
      <c r="H192" s="166">
        <f t="shared" si="8"/>
        <v>21631.68</v>
      </c>
      <c r="I192" s="18">
        <f t="shared" si="9"/>
        <v>2005</v>
      </c>
      <c r="J192" s="18">
        <f t="shared" si="10"/>
        <v>6</v>
      </c>
      <c r="K192" s="166">
        <f t="shared" si="11"/>
        <v>2</v>
      </c>
    </row>
    <row r="193" spans="1:11" x14ac:dyDescent="0.2">
      <c r="A193" s="8">
        <v>5163</v>
      </c>
      <c r="B193" s="4">
        <v>4</v>
      </c>
      <c r="C193" s="3">
        <v>38533</v>
      </c>
      <c r="D193" t="s">
        <v>76</v>
      </c>
      <c r="E193" s="6">
        <v>1264</v>
      </c>
      <c r="F193" s="165">
        <f>VLOOKUP($D$2:$D$273,Varelager!$A$2:$D$31,4)</f>
        <v>5.004390986602</v>
      </c>
      <c r="G193" s="165">
        <f>VLOOKUP($D$2:$D$273,Varelager!$A$2:$D$31,3)</f>
        <v>10</v>
      </c>
      <c r="H193" s="166">
        <f t="shared" si="8"/>
        <v>12640</v>
      </c>
      <c r="I193" s="18">
        <f t="shared" si="9"/>
        <v>2005</v>
      </c>
      <c r="J193" s="18">
        <f t="shared" si="10"/>
        <v>6</v>
      </c>
      <c r="K193" s="166">
        <f t="shared" si="11"/>
        <v>2</v>
      </c>
    </row>
    <row r="194" spans="1:11" x14ac:dyDescent="0.2">
      <c r="A194" s="8">
        <v>5163</v>
      </c>
      <c r="B194" s="4">
        <v>5</v>
      </c>
      <c r="C194" s="3">
        <v>38533</v>
      </c>
      <c r="D194" t="s">
        <v>71</v>
      </c>
      <c r="E194" s="6">
        <v>708</v>
      </c>
      <c r="F194" s="165">
        <f>VLOOKUP($D$2:$D$273,Varelager!$A$2:$D$31,4)</f>
        <v>7.52</v>
      </c>
      <c r="G194" s="165">
        <f>VLOOKUP($D$2:$D$273,Varelager!$A$2:$D$31,3)</f>
        <v>16.940000000000001</v>
      </c>
      <c r="H194" s="166">
        <f t="shared" si="8"/>
        <v>11993.52</v>
      </c>
      <c r="I194" s="18">
        <f t="shared" si="9"/>
        <v>2005</v>
      </c>
      <c r="J194" s="18">
        <f t="shared" si="10"/>
        <v>6</v>
      </c>
      <c r="K194" s="166">
        <f t="shared" si="11"/>
        <v>2</v>
      </c>
    </row>
    <row r="195" spans="1:11" x14ac:dyDescent="0.2">
      <c r="A195" s="8">
        <v>5163</v>
      </c>
      <c r="B195" s="4">
        <v>6</v>
      </c>
      <c r="C195" s="3">
        <v>38533</v>
      </c>
      <c r="D195" t="s">
        <v>70</v>
      </c>
      <c r="E195" s="6">
        <v>1466</v>
      </c>
      <c r="F195" s="165">
        <f>VLOOKUP($D$2:$D$273,Varelager!$A$2:$D$31,4)</f>
        <v>6.03</v>
      </c>
      <c r="G195" s="165">
        <f>VLOOKUP($D$2:$D$273,Varelager!$A$2:$D$31,3)</f>
        <v>12.18</v>
      </c>
      <c r="H195" s="166">
        <f t="shared" ref="H195:H258" si="12">G195*E195</f>
        <v>17855.88</v>
      </c>
      <c r="I195" s="18">
        <f t="shared" ref="I195:I258" si="13">YEAR(C195)</f>
        <v>2005</v>
      </c>
      <c r="J195" s="18">
        <f t="shared" ref="J195:J258" si="14">MONTH(C195)</f>
        <v>6</v>
      </c>
      <c r="K195" s="166">
        <f t="shared" ref="K195:K258" si="15">IF(J195&lt;=3,1,IF(J195=4,2,IF(J195=5,2,IF(J195=6,2,IF(J195=7,3,IF(J195=8,3,IF(J195=9,3,IF(J195&gt;9,4))))))))</f>
        <v>2</v>
      </c>
    </row>
    <row r="196" spans="1:11" x14ac:dyDescent="0.2">
      <c r="A196" s="8">
        <v>5159</v>
      </c>
      <c r="B196" s="4">
        <v>1</v>
      </c>
      <c r="C196" s="3">
        <v>38471</v>
      </c>
      <c r="D196" t="s">
        <v>71</v>
      </c>
      <c r="E196" s="6">
        <v>120</v>
      </c>
      <c r="F196" s="165">
        <f>VLOOKUP($D$2:$D$273,Varelager!$A$2:$D$31,4)</f>
        <v>7.52</v>
      </c>
      <c r="G196" s="165">
        <f>VLOOKUP($D$2:$D$273,Varelager!$A$2:$D$31,3)</f>
        <v>16.940000000000001</v>
      </c>
      <c r="H196" s="166">
        <f t="shared" si="12"/>
        <v>2032.8000000000002</v>
      </c>
      <c r="I196" s="18">
        <f t="shared" si="13"/>
        <v>2005</v>
      </c>
      <c r="J196" s="18">
        <f t="shared" si="14"/>
        <v>4</v>
      </c>
      <c r="K196" s="166">
        <f t="shared" si="15"/>
        <v>2</v>
      </c>
    </row>
    <row r="197" spans="1:11" x14ac:dyDescent="0.2">
      <c r="A197" s="8">
        <v>5159</v>
      </c>
      <c r="B197" s="4">
        <v>2</v>
      </c>
      <c r="C197" s="3">
        <v>38471</v>
      </c>
      <c r="D197" t="s">
        <v>70</v>
      </c>
      <c r="E197" s="6">
        <v>270</v>
      </c>
      <c r="F197" s="165">
        <f>VLOOKUP($D$2:$D$273,Varelager!$A$2:$D$31,4)</f>
        <v>6.03</v>
      </c>
      <c r="G197" s="165">
        <f>VLOOKUP($D$2:$D$273,Varelager!$A$2:$D$31,3)</f>
        <v>12.18</v>
      </c>
      <c r="H197" s="166">
        <f t="shared" si="12"/>
        <v>3288.6</v>
      </c>
      <c r="I197" s="18">
        <f t="shared" si="13"/>
        <v>2005</v>
      </c>
      <c r="J197" s="18">
        <f t="shared" si="14"/>
        <v>4</v>
      </c>
      <c r="K197" s="166">
        <f t="shared" si="15"/>
        <v>2</v>
      </c>
    </row>
    <row r="198" spans="1:11" x14ac:dyDescent="0.2">
      <c r="A198" s="8">
        <v>5159</v>
      </c>
      <c r="B198" s="4">
        <v>3</v>
      </c>
      <c r="C198" s="3">
        <v>38471</v>
      </c>
      <c r="D198" t="s">
        <v>70</v>
      </c>
      <c r="E198" s="6">
        <v>724</v>
      </c>
      <c r="F198" s="165">
        <f>VLOOKUP($D$2:$D$273,Varelager!$A$2:$D$31,4)</f>
        <v>6.03</v>
      </c>
      <c r="G198" s="165">
        <f>VLOOKUP($D$2:$D$273,Varelager!$A$2:$D$31,3)</f>
        <v>12.18</v>
      </c>
      <c r="H198" s="166">
        <f t="shared" si="12"/>
        <v>8818.32</v>
      </c>
      <c r="I198" s="18">
        <f t="shared" si="13"/>
        <v>2005</v>
      </c>
      <c r="J198" s="18">
        <f t="shared" si="14"/>
        <v>4</v>
      </c>
      <c r="K198" s="166">
        <f t="shared" si="15"/>
        <v>2</v>
      </c>
    </row>
    <row r="199" spans="1:11" x14ac:dyDescent="0.2">
      <c r="A199" s="8">
        <v>5121</v>
      </c>
      <c r="B199" s="4">
        <v>2</v>
      </c>
      <c r="C199" s="3">
        <v>38383</v>
      </c>
      <c r="D199" t="s">
        <v>70</v>
      </c>
      <c r="E199" s="6">
        <v>1071</v>
      </c>
      <c r="F199" s="165">
        <f>VLOOKUP($D$2:$D$273,Varelager!$A$2:$D$31,4)</f>
        <v>6.03</v>
      </c>
      <c r="G199" s="165">
        <f>VLOOKUP($D$2:$D$273,Varelager!$A$2:$D$31,3)</f>
        <v>12.18</v>
      </c>
      <c r="H199" s="166">
        <f t="shared" si="12"/>
        <v>13044.779999999999</v>
      </c>
      <c r="I199" s="18">
        <f t="shared" si="13"/>
        <v>2005</v>
      </c>
      <c r="J199" s="18">
        <f t="shared" si="14"/>
        <v>1</v>
      </c>
      <c r="K199" s="166">
        <f t="shared" si="15"/>
        <v>1</v>
      </c>
    </row>
    <row r="200" spans="1:11" x14ac:dyDescent="0.2">
      <c r="A200" s="8">
        <v>5109</v>
      </c>
      <c r="B200" s="4">
        <v>1</v>
      </c>
      <c r="C200" s="3">
        <v>38352</v>
      </c>
      <c r="D200" t="s">
        <v>82</v>
      </c>
      <c r="E200" s="6">
        <v>756</v>
      </c>
      <c r="F200" s="165">
        <f>VLOOKUP($D$2:$D$273,Varelager!$A$2:$D$31,4)</f>
        <v>1.5080640000000001</v>
      </c>
      <c r="G200" s="165">
        <f>VLOOKUP($D$2:$D$273,Varelager!$A$2:$D$31,3)</f>
        <v>3</v>
      </c>
      <c r="H200" s="166">
        <f t="shared" si="12"/>
        <v>2268</v>
      </c>
      <c r="I200" s="18">
        <f t="shared" si="13"/>
        <v>2004</v>
      </c>
      <c r="J200" s="18">
        <f t="shared" si="14"/>
        <v>12</v>
      </c>
      <c r="K200" s="166">
        <f t="shared" si="15"/>
        <v>4</v>
      </c>
    </row>
    <row r="201" spans="1:11" x14ac:dyDescent="0.2">
      <c r="A201" s="8">
        <v>5109</v>
      </c>
      <c r="B201" s="4">
        <v>2</v>
      </c>
      <c r="C201" s="3">
        <v>38352</v>
      </c>
      <c r="D201" t="s">
        <v>82</v>
      </c>
      <c r="E201" s="6">
        <v>36</v>
      </c>
      <c r="F201" s="165">
        <f>VLOOKUP($D$2:$D$273,Varelager!$A$2:$D$31,4)</f>
        <v>1.5080640000000001</v>
      </c>
      <c r="G201" s="165">
        <f>VLOOKUP($D$2:$D$273,Varelager!$A$2:$D$31,3)</f>
        <v>3</v>
      </c>
      <c r="H201" s="166">
        <f t="shared" si="12"/>
        <v>108</v>
      </c>
      <c r="I201" s="18">
        <f t="shared" si="13"/>
        <v>2004</v>
      </c>
      <c r="J201" s="18">
        <f t="shared" si="14"/>
        <v>12</v>
      </c>
      <c r="K201" s="166">
        <f t="shared" si="15"/>
        <v>4</v>
      </c>
    </row>
    <row r="202" spans="1:11" x14ac:dyDescent="0.2">
      <c r="A202" s="8">
        <v>5109</v>
      </c>
      <c r="B202" s="4">
        <v>3</v>
      </c>
      <c r="C202" s="3">
        <v>38352</v>
      </c>
      <c r="D202" t="s">
        <v>71</v>
      </c>
      <c r="E202" s="6">
        <v>1285</v>
      </c>
      <c r="F202" s="165">
        <f>VLOOKUP($D$2:$D$273,Varelager!$A$2:$D$31,4)</f>
        <v>7.52</v>
      </c>
      <c r="G202" s="165">
        <f>VLOOKUP($D$2:$D$273,Varelager!$A$2:$D$31,3)</f>
        <v>16.940000000000001</v>
      </c>
      <c r="H202" s="166">
        <f t="shared" si="12"/>
        <v>21767.9</v>
      </c>
      <c r="I202" s="18">
        <f t="shared" si="13"/>
        <v>2004</v>
      </c>
      <c r="J202" s="18">
        <f t="shared" si="14"/>
        <v>12</v>
      </c>
      <c r="K202" s="166">
        <f t="shared" si="15"/>
        <v>4</v>
      </c>
    </row>
    <row r="203" spans="1:11" x14ac:dyDescent="0.2">
      <c r="A203" s="8">
        <v>5095</v>
      </c>
      <c r="B203" s="4">
        <v>1</v>
      </c>
      <c r="C203" s="3">
        <v>38321</v>
      </c>
      <c r="D203" t="s">
        <v>76</v>
      </c>
      <c r="E203" s="6">
        <v>1392</v>
      </c>
      <c r="F203" s="165">
        <f>VLOOKUP($D$2:$D$273,Varelager!$A$2:$D$31,4)</f>
        <v>5.004390986602</v>
      </c>
      <c r="G203" s="165">
        <f>VLOOKUP($D$2:$D$273,Varelager!$A$2:$D$31,3)</f>
        <v>10</v>
      </c>
      <c r="H203" s="166">
        <f t="shared" si="12"/>
        <v>13920</v>
      </c>
      <c r="I203" s="18">
        <f t="shared" si="13"/>
        <v>2004</v>
      </c>
      <c r="J203" s="18">
        <f t="shared" si="14"/>
        <v>11</v>
      </c>
      <c r="K203" s="166">
        <f t="shared" si="15"/>
        <v>4</v>
      </c>
    </row>
    <row r="204" spans="1:11" x14ac:dyDescent="0.2">
      <c r="A204" s="8">
        <v>5095</v>
      </c>
      <c r="B204" s="4">
        <v>2</v>
      </c>
      <c r="C204" s="3">
        <v>38321</v>
      </c>
      <c r="D204" t="s">
        <v>77</v>
      </c>
      <c r="E204" s="6">
        <v>306</v>
      </c>
      <c r="F204" s="165">
        <f>VLOOKUP($D$2:$D$273,Varelager!$A$2:$D$31,4)</f>
        <v>6.26</v>
      </c>
      <c r="G204" s="165">
        <f>VLOOKUP($D$2:$D$273,Varelager!$A$2:$D$31,3)</f>
        <v>12.18</v>
      </c>
      <c r="H204" s="166">
        <f t="shared" si="12"/>
        <v>3727.08</v>
      </c>
      <c r="I204" s="18">
        <f t="shared" si="13"/>
        <v>2004</v>
      </c>
      <c r="J204" s="18">
        <f t="shared" si="14"/>
        <v>11</v>
      </c>
      <c r="K204" s="166">
        <f t="shared" si="15"/>
        <v>4</v>
      </c>
    </row>
    <row r="205" spans="1:11" x14ac:dyDescent="0.2">
      <c r="A205" s="8">
        <v>5095</v>
      </c>
      <c r="B205" s="4">
        <v>3</v>
      </c>
      <c r="C205" s="3">
        <v>38321</v>
      </c>
      <c r="D205" t="s">
        <v>69</v>
      </c>
      <c r="E205" s="6">
        <v>1108</v>
      </c>
      <c r="F205" s="165">
        <f>VLOOKUP($D$2:$D$273,Varelager!$A$2:$D$31,4)</f>
        <v>30.002954638333001</v>
      </c>
      <c r="G205" s="165">
        <f>VLOOKUP($D$2:$D$273,Varelager!$A$2:$D$31,3)</f>
        <v>35</v>
      </c>
      <c r="H205" s="166">
        <f t="shared" si="12"/>
        <v>38780</v>
      </c>
      <c r="I205" s="18">
        <f t="shared" si="13"/>
        <v>2004</v>
      </c>
      <c r="J205" s="18">
        <f t="shared" si="14"/>
        <v>11</v>
      </c>
      <c r="K205" s="166">
        <f t="shared" si="15"/>
        <v>4</v>
      </c>
    </row>
    <row r="206" spans="1:11" x14ac:dyDescent="0.2">
      <c r="A206" s="8">
        <v>5075</v>
      </c>
      <c r="B206" s="4">
        <v>2</v>
      </c>
      <c r="C206" s="3">
        <v>38260</v>
      </c>
      <c r="D206" t="s">
        <v>76</v>
      </c>
      <c r="E206" s="6">
        <v>1241</v>
      </c>
      <c r="F206" s="165">
        <f>VLOOKUP($D$2:$D$273,Varelager!$A$2:$D$31,4)</f>
        <v>5.004390986602</v>
      </c>
      <c r="G206" s="165">
        <f>VLOOKUP($D$2:$D$273,Varelager!$A$2:$D$31,3)</f>
        <v>10</v>
      </c>
      <c r="H206" s="166">
        <f t="shared" si="12"/>
        <v>12410</v>
      </c>
      <c r="I206" s="18">
        <f t="shared" si="13"/>
        <v>2004</v>
      </c>
      <c r="J206" s="18">
        <f t="shared" si="14"/>
        <v>9</v>
      </c>
      <c r="K206" s="166">
        <f t="shared" si="15"/>
        <v>3</v>
      </c>
    </row>
    <row r="207" spans="1:11" x14ac:dyDescent="0.2">
      <c r="A207" s="8">
        <v>5075</v>
      </c>
      <c r="B207" s="4">
        <v>3</v>
      </c>
      <c r="C207" s="3">
        <v>38260</v>
      </c>
      <c r="D207" t="s">
        <v>69</v>
      </c>
      <c r="E207" s="6">
        <v>165</v>
      </c>
      <c r="F207" s="165">
        <f>VLOOKUP($D$2:$D$273,Varelager!$A$2:$D$31,4)</f>
        <v>30.002954638333001</v>
      </c>
      <c r="G207" s="165">
        <f>VLOOKUP($D$2:$D$273,Varelager!$A$2:$D$31,3)</f>
        <v>35</v>
      </c>
      <c r="H207" s="166">
        <f t="shared" si="12"/>
        <v>5775</v>
      </c>
      <c r="I207" s="18">
        <f t="shared" si="13"/>
        <v>2004</v>
      </c>
      <c r="J207" s="18">
        <f t="shared" si="14"/>
        <v>9</v>
      </c>
      <c r="K207" s="166">
        <f t="shared" si="15"/>
        <v>3</v>
      </c>
    </row>
    <row r="208" spans="1:11" x14ac:dyDescent="0.2">
      <c r="A208" s="8">
        <v>5075</v>
      </c>
      <c r="B208" s="4">
        <v>4</v>
      </c>
      <c r="C208" s="3">
        <v>38260</v>
      </c>
      <c r="D208" t="s">
        <v>77</v>
      </c>
      <c r="E208" s="6">
        <v>539</v>
      </c>
      <c r="F208" s="165">
        <f>VLOOKUP($D$2:$D$273,Varelager!$A$2:$D$31,4)</f>
        <v>6.26</v>
      </c>
      <c r="G208" s="165">
        <f>VLOOKUP($D$2:$D$273,Varelager!$A$2:$D$31,3)</f>
        <v>12.18</v>
      </c>
      <c r="H208" s="166">
        <f t="shared" si="12"/>
        <v>6565.0199999999995</v>
      </c>
      <c r="I208" s="18">
        <f t="shared" si="13"/>
        <v>2004</v>
      </c>
      <c r="J208" s="18">
        <f t="shared" si="14"/>
        <v>9</v>
      </c>
      <c r="K208" s="166">
        <f t="shared" si="15"/>
        <v>3</v>
      </c>
    </row>
    <row r="209" spans="1:11" x14ac:dyDescent="0.2">
      <c r="A209" s="8">
        <v>5075</v>
      </c>
      <c r="B209" s="4">
        <v>5</v>
      </c>
      <c r="C209" s="3">
        <v>38260</v>
      </c>
      <c r="D209" t="s">
        <v>80</v>
      </c>
      <c r="E209" s="6">
        <v>360</v>
      </c>
      <c r="F209" s="165">
        <f>VLOOKUP($D$2:$D$273,Varelager!$A$2:$D$31,4)</f>
        <v>8.7344200000000001</v>
      </c>
      <c r="G209" s="165">
        <f>VLOOKUP($D$2:$D$273,Varelager!$A$2:$D$31,3)</f>
        <v>14.63</v>
      </c>
      <c r="H209" s="166">
        <f t="shared" si="12"/>
        <v>5266.8</v>
      </c>
      <c r="I209" s="18">
        <f t="shared" si="13"/>
        <v>2004</v>
      </c>
      <c r="J209" s="18">
        <f t="shared" si="14"/>
        <v>9</v>
      </c>
      <c r="K209" s="166">
        <f t="shared" si="15"/>
        <v>3</v>
      </c>
    </row>
    <row r="210" spans="1:11" x14ac:dyDescent="0.2">
      <c r="A210" s="8">
        <v>5075</v>
      </c>
      <c r="B210" s="4">
        <v>6</v>
      </c>
      <c r="C210" s="3">
        <v>38260</v>
      </c>
      <c r="D210" t="s">
        <v>77</v>
      </c>
      <c r="E210" s="6">
        <v>320</v>
      </c>
      <c r="F210" s="165">
        <f>VLOOKUP($D$2:$D$273,Varelager!$A$2:$D$31,4)</f>
        <v>6.26</v>
      </c>
      <c r="G210" s="165">
        <f>VLOOKUP($D$2:$D$273,Varelager!$A$2:$D$31,3)</f>
        <v>12.18</v>
      </c>
      <c r="H210" s="166">
        <f t="shared" si="12"/>
        <v>3897.6</v>
      </c>
      <c r="I210" s="18">
        <f t="shared" si="13"/>
        <v>2004</v>
      </c>
      <c r="J210" s="18">
        <f t="shared" si="14"/>
        <v>9</v>
      </c>
      <c r="K210" s="166">
        <f t="shared" si="15"/>
        <v>3</v>
      </c>
    </row>
    <row r="211" spans="1:11" x14ac:dyDescent="0.2">
      <c r="A211" s="8">
        <v>5071</v>
      </c>
      <c r="B211" s="4">
        <v>3</v>
      </c>
      <c r="C211" s="3">
        <v>38260</v>
      </c>
      <c r="D211" t="s">
        <v>70</v>
      </c>
      <c r="E211" s="6">
        <v>503</v>
      </c>
      <c r="F211" s="165">
        <f>VLOOKUP($D$2:$D$273,Varelager!$A$2:$D$31,4)</f>
        <v>6.03</v>
      </c>
      <c r="G211" s="165">
        <f>VLOOKUP($D$2:$D$273,Varelager!$A$2:$D$31,3)</f>
        <v>12.18</v>
      </c>
      <c r="H211" s="166">
        <f t="shared" si="12"/>
        <v>6126.54</v>
      </c>
      <c r="I211" s="18">
        <f t="shared" si="13"/>
        <v>2004</v>
      </c>
      <c r="J211" s="18">
        <f t="shared" si="14"/>
        <v>9</v>
      </c>
      <c r="K211" s="166">
        <f t="shared" si="15"/>
        <v>3</v>
      </c>
    </row>
    <row r="212" spans="1:11" x14ac:dyDescent="0.2">
      <c r="A212" s="8">
        <v>5071</v>
      </c>
      <c r="B212" s="4">
        <v>4</v>
      </c>
      <c r="C212" s="3">
        <v>38260</v>
      </c>
      <c r="D212" t="s">
        <v>69</v>
      </c>
      <c r="E212" s="6">
        <v>1659</v>
      </c>
      <c r="F212" s="165">
        <f>VLOOKUP($D$2:$D$273,Varelager!$A$2:$D$31,4)</f>
        <v>30.002954638333001</v>
      </c>
      <c r="G212" s="165">
        <f>VLOOKUP($D$2:$D$273,Varelager!$A$2:$D$31,3)</f>
        <v>35</v>
      </c>
      <c r="H212" s="166">
        <f t="shared" si="12"/>
        <v>58065</v>
      </c>
      <c r="I212" s="18">
        <f t="shared" si="13"/>
        <v>2004</v>
      </c>
      <c r="J212" s="18">
        <f t="shared" si="14"/>
        <v>9</v>
      </c>
      <c r="K212" s="166">
        <f t="shared" si="15"/>
        <v>3</v>
      </c>
    </row>
    <row r="213" spans="1:11" x14ac:dyDescent="0.2">
      <c r="A213" s="8">
        <v>5030</v>
      </c>
      <c r="B213" s="4">
        <v>1</v>
      </c>
      <c r="C213" s="3">
        <v>38138</v>
      </c>
      <c r="D213" t="s">
        <v>82</v>
      </c>
      <c r="E213" s="6">
        <v>1780</v>
      </c>
      <c r="F213" s="165">
        <f>VLOOKUP($D$2:$D$273,Varelager!$A$2:$D$31,4)</f>
        <v>1.5080640000000001</v>
      </c>
      <c r="G213" s="165">
        <f>VLOOKUP($D$2:$D$273,Varelager!$A$2:$D$31,3)</f>
        <v>3</v>
      </c>
      <c r="H213" s="166">
        <f t="shared" si="12"/>
        <v>5340</v>
      </c>
      <c r="I213" s="18">
        <f t="shared" si="13"/>
        <v>2004</v>
      </c>
      <c r="J213" s="18">
        <f t="shared" si="14"/>
        <v>5</v>
      </c>
      <c r="K213" s="166">
        <f t="shared" si="15"/>
        <v>2</v>
      </c>
    </row>
    <row r="214" spans="1:11" x14ac:dyDescent="0.2">
      <c r="A214" s="8">
        <v>5030</v>
      </c>
      <c r="B214" s="4">
        <v>3</v>
      </c>
      <c r="C214" s="3">
        <v>38138</v>
      </c>
      <c r="D214" t="s">
        <v>71</v>
      </c>
      <c r="E214" s="6">
        <v>51</v>
      </c>
      <c r="F214" s="165">
        <f>VLOOKUP($D$2:$D$273,Varelager!$A$2:$D$31,4)</f>
        <v>7.52</v>
      </c>
      <c r="G214" s="165">
        <f>VLOOKUP($D$2:$D$273,Varelager!$A$2:$D$31,3)</f>
        <v>16.940000000000001</v>
      </c>
      <c r="H214" s="166">
        <f t="shared" si="12"/>
        <v>863.94</v>
      </c>
      <c r="I214" s="18">
        <f t="shared" si="13"/>
        <v>2004</v>
      </c>
      <c r="J214" s="18">
        <f t="shared" si="14"/>
        <v>5</v>
      </c>
      <c r="K214" s="166">
        <f t="shared" si="15"/>
        <v>2</v>
      </c>
    </row>
    <row r="215" spans="1:11" x14ac:dyDescent="0.2">
      <c r="A215" s="8">
        <v>5250</v>
      </c>
      <c r="B215" s="4">
        <v>2</v>
      </c>
      <c r="C215" s="3">
        <v>38990</v>
      </c>
      <c r="D215" t="s">
        <v>80</v>
      </c>
      <c r="E215" s="6">
        <v>15000</v>
      </c>
      <c r="F215" s="165">
        <f>VLOOKUP($D$2:$D$273,Varelager!$A$2:$D$31,4)</f>
        <v>8.7344200000000001</v>
      </c>
      <c r="G215" s="165">
        <f>VLOOKUP($D$2:$D$273,Varelager!$A$2:$D$31,3)</f>
        <v>14.63</v>
      </c>
      <c r="H215" s="166">
        <f t="shared" si="12"/>
        <v>219450</v>
      </c>
      <c r="I215" s="18">
        <f t="shared" si="13"/>
        <v>2006</v>
      </c>
      <c r="J215" s="18">
        <f t="shared" si="14"/>
        <v>9</v>
      </c>
      <c r="K215" s="166">
        <f t="shared" si="15"/>
        <v>3</v>
      </c>
    </row>
    <row r="216" spans="1:11" x14ac:dyDescent="0.2">
      <c r="A216" s="8">
        <v>5250</v>
      </c>
      <c r="B216" s="4">
        <v>3</v>
      </c>
      <c r="C216" s="3">
        <v>38990</v>
      </c>
      <c r="D216" t="s">
        <v>70</v>
      </c>
      <c r="E216" s="6">
        <v>5000</v>
      </c>
      <c r="F216" s="165">
        <f>VLOOKUP($D$2:$D$273,Varelager!$A$2:$D$31,4)</f>
        <v>6.03</v>
      </c>
      <c r="G216" s="165">
        <f>VLOOKUP($D$2:$D$273,Varelager!$A$2:$D$31,3)</f>
        <v>12.18</v>
      </c>
      <c r="H216" s="166">
        <f t="shared" si="12"/>
        <v>60900</v>
      </c>
      <c r="I216" s="18">
        <f t="shared" si="13"/>
        <v>2006</v>
      </c>
      <c r="J216" s="18">
        <f t="shared" si="14"/>
        <v>9</v>
      </c>
      <c r="K216" s="166">
        <f t="shared" si="15"/>
        <v>3</v>
      </c>
    </row>
    <row r="217" spans="1:11" x14ac:dyDescent="0.2">
      <c r="A217" s="8">
        <v>5250</v>
      </c>
      <c r="B217" s="4">
        <v>1</v>
      </c>
      <c r="C217" s="3">
        <v>38990</v>
      </c>
      <c r="D217" t="s">
        <v>76</v>
      </c>
      <c r="E217" s="6">
        <v>10000</v>
      </c>
      <c r="F217" s="165">
        <f>VLOOKUP($D$2:$D$273,Varelager!$A$2:$D$31,4)</f>
        <v>5.004390986602</v>
      </c>
      <c r="G217" s="165">
        <f>VLOOKUP($D$2:$D$273,Varelager!$A$2:$D$31,3)</f>
        <v>10</v>
      </c>
      <c r="H217" s="166">
        <f t="shared" si="12"/>
        <v>100000</v>
      </c>
      <c r="I217" s="18">
        <f t="shared" si="13"/>
        <v>2006</v>
      </c>
      <c r="J217" s="18">
        <f t="shared" si="14"/>
        <v>9</v>
      </c>
      <c r="K217" s="166">
        <f t="shared" si="15"/>
        <v>3</v>
      </c>
    </row>
    <row r="218" spans="1:11" x14ac:dyDescent="0.2">
      <c r="A218" s="8">
        <v>5238</v>
      </c>
      <c r="B218" s="4">
        <v>1</v>
      </c>
      <c r="C218" s="3">
        <v>39172</v>
      </c>
      <c r="D218" t="s">
        <v>71</v>
      </c>
      <c r="E218" s="6">
        <v>1156</v>
      </c>
      <c r="F218" s="165">
        <f>VLOOKUP($D$2:$D$273,Varelager!$A$2:$D$31,4)</f>
        <v>7.52</v>
      </c>
      <c r="G218" s="165">
        <f>VLOOKUP($D$2:$D$273,Varelager!$A$2:$D$31,3)</f>
        <v>16.940000000000001</v>
      </c>
      <c r="H218" s="166">
        <f t="shared" si="12"/>
        <v>19582.640000000003</v>
      </c>
      <c r="I218" s="18">
        <f t="shared" si="13"/>
        <v>2007</v>
      </c>
      <c r="J218" s="18">
        <f t="shared" si="14"/>
        <v>3</v>
      </c>
      <c r="K218" s="166">
        <f t="shared" si="15"/>
        <v>1</v>
      </c>
    </row>
    <row r="219" spans="1:11" x14ac:dyDescent="0.2">
      <c r="A219" s="8">
        <v>5196</v>
      </c>
      <c r="B219" s="4">
        <v>1</v>
      </c>
      <c r="C219" s="3">
        <v>38595</v>
      </c>
      <c r="D219" t="s">
        <v>69</v>
      </c>
      <c r="E219" s="6">
        <v>673</v>
      </c>
      <c r="F219" s="165">
        <f>VLOOKUP($D$2:$D$273,Varelager!$A$2:$D$31,4)</f>
        <v>30.002954638333001</v>
      </c>
      <c r="G219" s="165">
        <f>VLOOKUP($D$2:$D$273,Varelager!$A$2:$D$31,3)</f>
        <v>35</v>
      </c>
      <c r="H219" s="166">
        <f t="shared" si="12"/>
        <v>23555</v>
      </c>
      <c r="I219" s="18">
        <f t="shared" si="13"/>
        <v>2005</v>
      </c>
      <c r="J219" s="18">
        <f t="shared" si="14"/>
        <v>8</v>
      </c>
      <c r="K219" s="166">
        <f t="shared" si="15"/>
        <v>3</v>
      </c>
    </row>
    <row r="220" spans="1:11" x14ac:dyDescent="0.2">
      <c r="A220" s="8">
        <v>5196</v>
      </c>
      <c r="B220" s="4">
        <v>2</v>
      </c>
      <c r="C220" s="3">
        <v>38595</v>
      </c>
      <c r="D220" t="s">
        <v>70</v>
      </c>
      <c r="E220" s="6">
        <v>1835</v>
      </c>
      <c r="F220" s="165">
        <f>VLOOKUP($D$2:$D$273,Varelager!$A$2:$D$31,4)</f>
        <v>6.03</v>
      </c>
      <c r="G220" s="165">
        <f>VLOOKUP($D$2:$D$273,Varelager!$A$2:$D$31,3)</f>
        <v>12.18</v>
      </c>
      <c r="H220" s="166">
        <f t="shared" si="12"/>
        <v>22350.3</v>
      </c>
      <c r="I220" s="18">
        <f t="shared" si="13"/>
        <v>2005</v>
      </c>
      <c r="J220" s="18">
        <f t="shared" si="14"/>
        <v>8</v>
      </c>
      <c r="K220" s="166">
        <f t="shared" si="15"/>
        <v>3</v>
      </c>
    </row>
    <row r="221" spans="1:11" x14ac:dyDescent="0.2">
      <c r="A221" s="8">
        <v>5194</v>
      </c>
      <c r="B221" s="4">
        <v>1</v>
      </c>
      <c r="C221" s="3">
        <v>38595</v>
      </c>
      <c r="D221" t="s">
        <v>71</v>
      </c>
      <c r="E221" s="6">
        <v>1337</v>
      </c>
      <c r="F221" s="165">
        <f>VLOOKUP($D$2:$D$273,Varelager!$A$2:$D$31,4)</f>
        <v>7.52</v>
      </c>
      <c r="G221" s="165">
        <f>VLOOKUP($D$2:$D$273,Varelager!$A$2:$D$31,3)</f>
        <v>16.940000000000001</v>
      </c>
      <c r="H221" s="166">
        <f t="shared" si="12"/>
        <v>22648.780000000002</v>
      </c>
      <c r="I221" s="18">
        <f t="shared" si="13"/>
        <v>2005</v>
      </c>
      <c r="J221" s="18">
        <f t="shared" si="14"/>
        <v>8</v>
      </c>
      <c r="K221" s="166">
        <f t="shared" si="15"/>
        <v>3</v>
      </c>
    </row>
    <row r="222" spans="1:11" x14ac:dyDescent="0.2">
      <c r="A222" s="8">
        <v>5173</v>
      </c>
      <c r="B222" s="4">
        <v>1</v>
      </c>
      <c r="C222" s="3">
        <v>38533</v>
      </c>
      <c r="D222" t="s">
        <v>80</v>
      </c>
      <c r="E222" s="6">
        <v>1718</v>
      </c>
      <c r="F222" s="165">
        <f>VLOOKUP($D$2:$D$273,Varelager!$A$2:$D$31,4)</f>
        <v>8.7344200000000001</v>
      </c>
      <c r="G222" s="165">
        <f>VLOOKUP($D$2:$D$273,Varelager!$A$2:$D$31,3)</f>
        <v>14.63</v>
      </c>
      <c r="H222" s="166">
        <f t="shared" si="12"/>
        <v>25134.34</v>
      </c>
      <c r="I222" s="18">
        <f t="shared" si="13"/>
        <v>2005</v>
      </c>
      <c r="J222" s="18">
        <f t="shared" si="14"/>
        <v>6</v>
      </c>
      <c r="K222" s="166">
        <f t="shared" si="15"/>
        <v>2</v>
      </c>
    </row>
    <row r="223" spans="1:11" x14ac:dyDescent="0.2">
      <c r="A223" s="8">
        <v>5169</v>
      </c>
      <c r="B223" s="4">
        <v>1</v>
      </c>
      <c r="C223" s="3">
        <v>38533</v>
      </c>
      <c r="D223" t="s">
        <v>80</v>
      </c>
      <c r="E223" s="6">
        <v>13</v>
      </c>
      <c r="F223" s="165">
        <f>VLOOKUP($D$2:$D$273,Varelager!$A$2:$D$31,4)</f>
        <v>8.7344200000000001</v>
      </c>
      <c r="G223" s="165">
        <f>VLOOKUP($D$2:$D$273,Varelager!$A$2:$D$31,3)</f>
        <v>14.63</v>
      </c>
      <c r="H223" s="166">
        <f t="shared" si="12"/>
        <v>190.19</v>
      </c>
      <c r="I223" s="18">
        <f t="shared" si="13"/>
        <v>2005</v>
      </c>
      <c r="J223" s="18">
        <f t="shared" si="14"/>
        <v>6</v>
      </c>
      <c r="K223" s="166">
        <f t="shared" si="15"/>
        <v>2</v>
      </c>
    </row>
    <row r="224" spans="1:11" x14ac:dyDescent="0.2">
      <c r="A224" s="8">
        <v>5169</v>
      </c>
      <c r="B224" s="4">
        <v>2</v>
      </c>
      <c r="C224" s="3">
        <v>38533</v>
      </c>
      <c r="D224" t="s">
        <v>76</v>
      </c>
      <c r="E224" s="6">
        <v>1676</v>
      </c>
      <c r="F224" s="165">
        <f>VLOOKUP($D$2:$D$273,Varelager!$A$2:$D$31,4)</f>
        <v>5.004390986602</v>
      </c>
      <c r="G224" s="165">
        <f>VLOOKUP($D$2:$D$273,Varelager!$A$2:$D$31,3)</f>
        <v>10</v>
      </c>
      <c r="H224" s="166">
        <f t="shared" si="12"/>
        <v>16760</v>
      </c>
      <c r="I224" s="18">
        <f t="shared" si="13"/>
        <v>2005</v>
      </c>
      <c r="J224" s="18">
        <f t="shared" si="14"/>
        <v>6</v>
      </c>
      <c r="K224" s="166">
        <f t="shared" si="15"/>
        <v>2</v>
      </c>
    </row>
    <row r="225" spans="1:11" x14ac:dyDescent="0.2">
      <c r="A225" s="8">
        <v>5073</v>
      </c>
      <c r="B225" s="4">
        <v>1</v>
      </c>
      <c r="C225" s="3">
        <v>38260</v>
      </c>
      <c r="D225" t="s">
        <v>71</v>
      </c>
      <c r="E225" s="6">
        <v>1338</v>
      </c>
      <c r="F225" s="165">
        <f>VLOOKUP($D$2:$D$273,Varelager!$A$2:$D$31,4)</f>
        <v>7.52</v>
      </c>
      <c r="G225" s="165">
        <f>VLOOKUP($D$2:$D$273,Varelager!$A$2:$D$31,3)</f>
        <v>16.940000000000001</v>
      </c>
      <c r="H225" s="166">
        <f t="shared" si="12"/>
        <v>22665.72</v>
      </c>
      <c r="I225" s="18">
        <f t="shared" si="13"/>
        <v>2004</v>
      </c>
      <c r="J225" s="18">
        <f t="shared" si="14"/>
        <v>9</v>
      </c>
      <c r="K225" s="166">
        <f t="shared" si="15"/>
        <v>3</v>
      </c>
    </row>
    <row r="226" spans="1:11" x14ac:dyDescent="0.2">
      <c r="A226" s="8">
        <v>5049</v>
      </c>
      <c r="B226" s="4">
        <v>1</v>
      </c>
      <c r="C226" s="3">
        <v>38168</v>
      </c>
      <c r="D226" t="s">
        <v>82</v>
      </c>
      <c r="E226" s="6">
        <v>1165</v>
      </c>
      <c r="F226" s="165">
        <f>VLOOKUP($D$2:$D$273,Varelager!$A$2:$D$31,4)</f>
        <v>1.5080640000000001</v>
      </c>
      <c r="G226" s="165">
        <f>VLOOKUP($D$2:$D$273,Varelager!$A$2:$D$31,3)</f>
        <v>3</v>
      </c>
      <c r="H226" s="166">
        <f t="shared" si="12"/>
        <v>3495</v>
      </c>
      <c r="I226" s="18">
        <f t="shared" si="13"/>
        <v>2004</v>
      </c>
      <c r="J226" s="18">
        <f t="shared" si="14"/>
        <v>6</v>
      </c>
      <c r="K226" s="166">
        <f t="shared" si="15"/>
        <v>2</v>
      </c>
    </row>
    <row r="227" spans="1:11" x14ac:dyDescent="0.2">
      <c r="A227" s="8">
        <v>5049</v>
      </c>
      <c r="B227" s="4">
        <v>2</v>
      </c>
      <c r="C227" s="3">
        <v>38168</v>
      </c>
      <c r="D227" t="s">
        <v>80</v>
      </c>
      <c r="E227" s="6">
        <v>173</v>
      </c>
      <c r="F227" s="165">
        <f>VLOOKUP($D$2:$D$273,Varelager!$A$2:$D$31,4)</f>
        <v>8.7344200000000001</v>
      </c>
      <c r="G227" s="165">
        <f>VLOOKUP($D$2:$D$273,Varelager!$A$2:$D$31,3)</f>
        <v>14.63</v>
      </c>
      <c r="H227" s="166">
        <f t="shared" si="12"/>
        <v>2530.9900000000002</v>
      </c>
      <c r="I227" s="18">
        <f t="shared" si="13"/>
        <v>2004</v>
      </c>
      <c r="J227" s="18">
        <f t="shared" si="14"/>
        <v>6</v>
      </c>
      <c r="K227" s="166">
        <f t="shared" si="15"/>
        <v>2</v>
      </c>
    </row>
    <row r="228" spans="1:11" x14ac:dyDescent="0.2">
      <c r="A228" s="8">
        <v>5046</v>
      </c>
      <c r="B228" s="4">
        <v>2</v>
      </c>
      <c r="C228" s="3">
        <v>38168</v>
      </c>
      <c r="D228" t="s">
        <v>77</v>
      </c>
      <c r="E228" s="6">
        <v>751</v>
      </c>
      <c r="F228" s="165">
        <f>VLOOKUP($D$2:$D$273,Varelager!$A$2:$D$31,4)</f>
        <v>6.26</v>
      </c>
      <c r="G228" s="165">
        <f>VLOOKUP($D$2:$D$273,Varelager!$A$2:$D$31,3)</f>
        <v>12.18</v>
      </c>
      <c r="H228" s="166">
        <f t="shared" si="12"/>
        <v>9147.18</v>
      </c>
      <c r="I228" s="18">
        <f t="shared" si="13"/>
        <v>2004</v>
      </c>
      <c r="J228" s="18">
        <f t="shared" si="14"/>
        <v>6</v>
      </c>
      <c r="K228" s="166">
        <f t="shared" si="15"/>
        <v>2</v>
      </c>
    </row>
    <row r="229" spans="1:11" x14ac:dyDescent="0.2">
      <c r="A229" s="8">
        <v>5212</v>
      </c>
      <c r="B229" s="4">
        <v>2</v>
      </c>
      <c r="C229" s="3">
        <v>38781</v>
      </c>
      <c r="D229" t="s">
        <v>77</v>
      </c>
      <c r="E229" s="6">
        <v>400</v>
      </c>
      <c r="F229" s="165">
        <f>VLOOKUP($D$2:$D$273,Varelager!$A$2:$D$31,4)</f>
        <v>6.26</v>
      </c>
      <c r="G229" s="165">
        <f>VLOOKUP($D$2:$D$273,Varelager!$A$2:$D$31,3)</f>
        <v>12.18</v>
      </c>
      <c r="H229" s="166">
        <f t="shared" si="12"/>
        <v>4872</v>
      </c>
      <c r="I229" s="18">
        <f t="shared" si="13"/>
        <v>2006</v>
      </c>
      <c r="J229" s="18">
        <f t="shared" si="14"/>
        <v>3</v>
      </c>
      <c r="K229" s="166">
        <f t="shared" si="15"/>
        <v>1</v>
      </c>
    </row>
    <row r="230" spans="1:11" x14ac:dyDescent="0.2">
      <c r="A230" s="8">
        <v>5141</v>
      </c>
      <c r="B230" s="4">
        <v>2</v>
      </c>
      <c r="C230" s="3">
        <v>38442</v>
      </c>
      <c r="D230" t="s">
        <v>77</v>
      </c>
      <c r="E230" s="6">
        <v>1399</v>
      </c>
      <c r="F230" s="165">
        <f>VLOOKUP($D$2:$D$273,Varelager!$A$2:$D$31,4)</f>
        <v>6.26</v>
      </c>
      <c r="G230" s="165">
        <f>VLOOKUP($D$2:$D$273,Varelager!$A$2:$D$31,3)</f>
        <v>12.18</v>
      </c>
      <c r="H230" s="166">
        <f t="shared" si="12"/>
        <v>17039.82</v>
      </c>
      <c r="I230" s="18">
        <f t="shared" si="13"/>
        <v>2005</v>
      </c>
      <c r="J230" s="18">
        <f t="shared" si="14"/>
        <v>3</v>
      </c>
      <c r="K230" s="166">
        <f t="shared" si="15"/>
        <v>1</v>
      </c>
    </row>
    <row r="231" spans="1:11" x14ac:dyDescent="0.2">
      <c r="A231" s="8">
        <v>5141</v>
      </c>
      <c r="B231" s="4">
        <v>3</v>
      </c>
      <c r="C231" s="3">
        <v>38442</v>
      </c>
      <c r="D231" t="s">
        <v>77</v>
      </c>
      <c r="E231" s="6">
        <v>1957</v>
      </c>
      <c r="F231" s="165">
        <f>VLOOKUP($D$2:$D$273,Varelager!$A$2:$D$31,4)</f>
        <v>6.26</v>
      </c>
      <c r="G231" s="165">
        <f>VLOOKUP($D$2:$D$273,Varelager!$A$2:$D$31,3)</f>
        <v>12.18</v>
      </c>
      <c r="H231" s="166">
        <f t="shared" si="12"/>
        <v>23836.26</v>
      </c>
      <c r="I231" s="18">
        <f t="shared" si="13"/>
        <v>2005</v>
      </c>
      <c r="J231" s="18">
        <f t="shared" si="14"/>
        <v>3</v>
      </c>
      <c r="K231" s="166">
        <f t="shared" si="15"/>
        <v>1</v>
      </c>
    </row>
    <row r="232" spans="1:11" x14ac:dyDescent="0.2">
      <c r="A232" s="8">
        <v>5141</v>
      </c>
      <c r="B232" s="4">
        <v>4</v>
      </c>
      <c r="C232" s="3">
        <v>38442</v>
      </c>
      <c r="D232" t="s">
        <v>77</v>
      </c>
      <c r="E232" s="6">
        <v>236</v>
      </c>
      <c r="F232" s="165">
        <f>VLOOKUP($D$2:$D$273,Varelager!$A$2:$D$31,4)</f>
        <v>6.26</v>
      </c>
      <c r="G232" s="165">
        <f>VLOOKUP($D$2:$D$273,Varelager!$A$2:$D$31,3)</f>
        <v>12.18</v>
      </c>
      <c r="H232" s="166">
        <f t="shared" si="12"/>
        <v>2874.48</v>
      </c>
      <c r="I232" s="18">
        <f t="shared" si="13"/>
        <v>2005</v>
      </c>
      <c r="J232" s="18">
        <f t="shared" si="14"/>
        <v>3</v>
      </c>
      <c r="K232" s="166">
        <f t="shared" si="15"/>
        <v>1</v>
      </c>
    </row>
    <row r="233" spans="1:11" x14ac:dyDescent="0.2">
      <c r="A233" s="8">
        <v>5141</v>
      </c>
      <c r="B233" s="4">
        <v>5</v>
      </c>
      <c r="C233" s="3">
        <v>38442</v>
      </c>
      <c r="D233" t="s">
        <v>80</v>
      </c>
      <c r="E233" s="6">
        <v>612</v>
      </c>
      <c r="F233" s="165">
        <f>VLOOKUP($D$2:$D$273,Varelager!$A$2:$D$31,4)</f>
        <v>8.7344200000000001</v>
      </c>
      <c r="G233" s="165">
        <f>VLOOKUP($D$2:$D$273,Varelager!$A$2:$D$31,3)</f>
        <v>14.63</v>
      </c>
      <c r="H233" s="166">
        <f t="shared" si="12"/>
        <v>8953.5600000000013</v>
      </c>
      <c r="I233" s="18">
        <f t="shared" si="13"/>
        <v>2005</v>
      </c>
      <c r="J233" s="18">
        <f t="shared" si="14"/>
        <v>3</v>
      </c>
      <c r="K233" s="166">
        <f t="shared" si="15"/>
        <v>1</v>
      </c>
    </row>
    <row r="234" spans="1:11" x14ac:dyDescent="0.2">
      <c r="A234" s="8">
        <v>5134</v>
      </c>
      <c r="B234" s="4">
        <v>1</v>
      </c>
      <c r="C234" s="3">
        <v>38410</v>
      </c>
      <c r="D234" t="s">
        <v>77</v>
      </c>
      <c r="E234" s="6">
        <v>50</v>
      </c>
      <c r="F234" s="165">
        <f>VLOOKUP($D$2:$D$273,Varelager!$A$2:$D$31,4)</f>
        <v>6.26</v>
      </c>
      <c r="G234" s="165">
        <f>VLOOKUP($D$2:$D$273,Varelager!$A$2:$D$31,3)</f>
        <v>12.18</v>
      </c>
      <c r="H234" s="166">
        <f t="shared" si="12"/>
        <v>609</v>
      </c>
      <c r="I234" s="18">
        <f t="shared" si="13"/>
        <v>2005</v>
      </c>
      <c r="J234" s="18">
        <f t="shared" si="14"/>
        <v>2</v>
      </c>
      <c r="K234" s="166">
        <f t="shared" si="15"/>
        <v>1</v>
      </c>
    </row>
    <row r="235" spans="1:11" x14ac:dyDescent="0.2">
      <c r="A235" s="8">
        <v>5118</v>
      </c>
      <c r="B235" s="4">
        <v>1</v>
      </c>
      <c r="C235" s="3">
        <v>38383</v>
      </c>
      <c r="D235" t="s">
        <v>82</v>
      </c>
      <c r="E235" s="6">
        <v>1217</v>
      </c>
      <c r="F235" s="165">
        <f>VLOOKUP($D$2:$D$273,Varelager!$A$2:$D$31,4)</f>
        <v>1.5080640000000001</v>
      </c>
      <c r="G235" s="165">
        <f>VLOOKUP($D$2:$D$273,Varelager!$A$2:$D$31,3)</f>
        <v>3</v>
      </c>
      <c r="H235" s="166">
        <f t="shared" si="12"/>
        <v>3651</v>
      </c>
      <c r="I235" s="18">
        <f t="shared" si="13"/>
        <v>2005</v>
      </c>
      <c r="J235" s="18">
        <f t="shared" si="14"/>
        <v>1</v>
      </c>
      <c r="K235" s="166">
        <f t="shared" si="15"/>
        <v>1</v>
      </c>
    </row>
    <row r="236" spans="1:11" x14ac:dyDescent="0.2">
      <c r="A236" s="8">
        <v>5118</v>
      </c>
      <c r="B236" s="4">
        <v>2</v>
      </c>
      <c r="C236" s="3">
        <v>38383</v>
      </c>
      <c r="D236" t="s">
        <v>80</v>
      </c>
      <c r="E236" s="6">
        <v>1227</v>
      </c>
      <c r="F236" s="165">
        <f>VLOOKUP($D$2:$D$273,Varelager!$A$2:$D$31,4)</f>
        <v>8.7344200000000001</v>
      </c>
      <c r="G236" s="165">
        <f>VLOOKUP($D$2:$D$273,Varelager!$A$2:$D$31,3)</f>
        <v>14.63</v>
      </c>
      <c r="H236" s="166">
        <f t="shared" si="12"/>
        <v>17951.010000000002</v>
      </c>
      <c r="I236" s="18">
        <f t="shared" si="13"/>
        <v>2005</v>
      </c>
      <c r="J236" s="18">
        <f t="shared" si="14"/>
        <v>1</v>
      </c>
      <c r="K236" s="166">
        <f t="shared" si="15"/>
        <v>1</v>
      </c>
    </row>
    <row r="237" spans="1:11" x14ac:dyDescent="0.2">
      <c r="A237" s="8">
        <v>5118</v>
      </c>
      <c r="B237" s="4">
        <v>3</v>
      </c>
      <c r="C237" s="3">
        <v>38383</v>
      </c>
      <c r="D237" t="s">
        <v>82</v>
      </c>
      <c r="E237" s="6">
        <v>245</v>
      </c>
      <c r="F237" s="165">
        <f>VLOOKUP($D$2:$D$273,Varelager!$A$2:$D$31,4)</f>
        <v>1.5080640000000001</v>
      </c>
      <c r="G237" s="165">
        <f>VLOOKUP($D$2:$D$273,Varelager!$A$2:$D$31,3)</f>
        <v>3</v>
      </c>
      <c r="H237" s="166">
        <f t="shared" si="12"/>
        <v>735</v>
      </c>
      <c r="I237" s="18">
        <f t="shared" si="13"/>
        <v>2005</v>
      </c>
      <c r="J237" s="18">
        <f t="shared" si="14"/>
        <v>1</v>
      </c>
      <c r="K237" s="166">
        <f t="shared" si="15"/>
        <v>1</v>
      </c>
    </row>
    <row r="238" spans="1:11" x14ac:dyDescent="0.2">
      <c r="A238" s="8">
        <v>5118</v>
      </c>
      <c r="B238" s="4">
        <v>6</v>
      </c>
      <c r="C238" s="3">
        <v>38383</v>
      </c>
      <c r="D238" t="s">
        <v>70</v>
      </c>
      <c r="E238" s="6">
        <v>1824</v>
      </c>
      <c r="F238" s="165">
        <f>VLOOKUP($D$2:$D$273,Varelager!$A$2:$D$31,4)</f>
        <v>6.03</v>
      </c>
      <c r="G238" s="165">
        <f>VLOOKUP($D$2:$D$273,Varelager!$A$2:$D$31,3)</f>
        <v>12.18</v>
      </c>
      <c r="H238" s="166">
        <f t="shared" si="12"/>
        <v>22216.32</v>
      </c>
      <c r="I238" s="18">
        <f t="shared" si="13"/>
        <v>2005</v>
      </c>
      <c r="J238" s="18">
        <f t="shared" si="14"/>
        <v>1</v>
      </c>
      <c r="K238" s="166">
        <f t="shared" si="15"/>
        <v>1</v>
      </c>
    </row>
    <row r="239" spans="1:11" x14ac:dyDescent="0.2">
      <c r="A239" s="8">
        <v>5118</v>
      </c>
      <c r="B239" s="4">
        <v>7</v>
      </c>
      <c r="C239" s="3">
        <v>38383</v>
      </c>
      <c r="D239" t="s">
        <v>80</v>
      </c>
      <c r="E239" s="6">
        <v>271</v>
      </c>
      <c r="F239" s="165">
        <f>VLOOKUP($D$2:$D$273,Varelager!$A$2:$D$31,4)</f>
        <v>8.7344200000000001</v>
      </c>
      <c r="G239" s="165">
        <f>VLOOKUP($D$2:$D$273,Varelager!$A$2:$D$31,3)</f>
        <v>14.63</v>
      </c>
      <c r="H239" s="166">
        <f t="shared" si="12"/>
        <v>3964.73</v>
      </c>
      <c r="I239" s="18">
        <f t="shared" si="13"/>
        <v>2005</v>
      </c>
      <c r="J239" s="18">
        <f t="shared" si="14"/>
        <v>1</v>
      </c>
      <c r="K239" s="166">
        <f t="shared" si="15"/>
        <v>1</v>
      </c>
    </row>
    <row r="240" spans="1:11" x14ac:dyDescent="0.2">
      <c r="A240" s="8">
        <v>5118</v>
      </c>
      <c r="B240" s="4">
        <v>8</v>
      </c>
      <c r="C240" s="3">
        <v>38383</v>
      </c>
      <c r="D240" t="s">
        <v>70</v>
      </c>
      <c r="E240" s="6">
        <v>237</v>
      </c>
      <c r="F240" s="165">
        <f>VLOOKUP($D$2:$D$273,Varelager!$A$2:$D$31,4)</f>
        <v>6.03</v>
      </c>
      <c r="G240" s="165">
        <f>VLOOKUP($D$2:$D$273,Varelager!$A$2:$D$31,3)</f>
        <v>12.18</v>
      </c>
      <c r="H240" s="166">
        <f t="shared" si="12"/>
        <v>2886.66</v>
      </c>
      <c r="I240" s="18">
        <f t="shared" si="13"/>
        <v>2005</v>
      </c>
      <c r="J240" s="18">
        <f t="shared" si="14"/>
        <v>1</v>
      </c>
      <c r="K240" s="166">
        <f t="shared" si="15"/>
        <v>1</v>
      </c>
    </row>
    <row r="241" spans="1:11" x14ac:dyDescent="0.2">
      <c r="A241" s="8">
        <v>5105</v>
      </c>
      <c r="B241" s="4">
        <v>1</v>
      </c>
      <c r="C241" s="3">
        <v>38352</v>
      </c>
      <c r="D241" t="s">
        <v>71</v>
      </c>
      <c r="E241" s="6">
        <v>1311</v>
      </c>
      <c r="F241" s="165">
        <f>VLOOKUP($D$2:$D$273,Varelager!$A$2:$D$31,4)</f>
        <v>7.52</v>
      </c>
      <c r="G241" s="165">
        <f>VLOOKUP($D$2:$D$273,Varelager!$A$2:$D$31,3)</f>
        <v>16.940000000000001</v>
      </c>
      <c r="H241" s="166">
        <f t="shared" si="12"/>
        <v>22208.34</v>
      </c>
      <c r="I241" s="18">
        <f t="shared" si="13"/>
        <v>2004</v>
      </c>
      <c r="J241" s="18">
        <f t="shared" si="14"/>
        <v>12</v>
      </c>
      <c r="K241" s="166">
        <f t="shared" si="15"/>
        <v>4</v>
      </c>
    </row>
    <row r="242" spans="1:11" x14ac:dyDescent="0.2">
      <c r="A242" s="8">
        <v>5105</v>
      </c>
      <c r="B242" s="4">
        <v>2</v>
      </c>
      <c r="C242" s="3">
        <v>38352</v>
      </c>
      <c r="D242" t="s">
        <v>76</v>
      </c>
      <c r="E242" s="6">
        <v>337</v>
      </c>
      <c r="F242" s="165">
        <f>VLOOKUP($D$2:$D$273,Varelager!$A$2:$D$31,4)</f>
        <v>5.004390986602</v>
      </c>
      <c r="G242" s="165">
        <f>VLOOKUP($D$2:$D$273,Varelager!$A$2:$D$31,3)</f>
        <v>10</v>
      </c>
      <c r="H242" s="166">
        <f t="shared" si="12"/>
        <v>3370</v>
      </c>
      <c r="I242" s="18">
        <f t="shared" si="13"/>
        <v>2004</v>
      </c>
      <c r="J242" s="18">
        <f t="shared" si="14"/>
        <v>12</v>
      </c>
      <c r="K242" s="166">
        <f t="shared" si="15"/>
        <v>4</v>
      </c>
    </row>
    <row r="243" spans="1:11" x14ac:dyDescent="0.2">
      <c r="A243" s="8">
        <v>5099</v>
      </c>
      <c r="B243" s="4">
        <v>2</v>
      </c>
      <c r="C243" s="3">
        <v>38321</v>
      </c>
      <c r="D243" t="s">
        <v>70</v>
      </c>
      <c r="E243" s="6">
        <v>1775</v>
      </c>
      <c r="F243" s="165">
        <f>VLOOKUP($D$2:$D$273,Varelager!$A$2:$D$31,4)</f>
        <v>6.03</v>
      </c>
      <c r="G243" s="165">
        <f>VLOOKUP($D$2:$D$273,Varelager!$A$2:$D$31,3)</f>
        <v>12.18</v>
      </c>
      <c r="H243" s="166">
        <f t="shared" si="12"/>
        <v>21619.5</v>
      </c>
      <c r="I243" s="18">
        <f t="shared" si="13"/>
        <v>2004</v>
      </c>
      <c r="J243" s="18">
        <f t="shared" si="14"/>
        <v>11</v>
      </c>
      <c r="K243" s="166">
        <f t="shared" si="15"/>
        <v>4</v>
      </c>
    </row>
    <row r="244" spans="1:11" x14ac:dyDescent="0.2">
      <c r="A244" s="8">
        <v>5099</v>
      </c>
      <c r="B244" s="4">
        <v>4</v>
      </c>
      <c r="C244" s="3">
        <v>38321</v>
      </c>
      <c r="D244" t="s">
        <v>69</v>
      </c>
      <c r="E244" s="6">
        <v>911</v>
      </c>
      <c r="F244" s="165">
        <f>VLOOKUP($D$2:$D$273,Varelager!$A$2:$D$31,4)</f>
        <v>30.002954638333001</v>
      </c>
      <c r="G244" s="165">
        <f>VLOOKUP($D$2:$D$273,Varelager!$A$2:$D$31,3)</f>
        <v>35</v>
      </c>
      <c r="H244" s="166">
        <f t="shared" si="12"/>
        <v>31885</v>
      </c>
      <c r="I244" s="18">
        <f t="shared" si="13"/>
        <v>2004</v>
      </c>
      <c r="J244" s="18">
        <f t="shared" si="14"/>
        <v>11</v>
      </c>
      <c r="K244" s="166">
        <f t="shared" si="15"/>
        <v>4</v>
      </c>
    </row>
    <row r="245" spans="1:11" x14ac:dyDescent="0.2">
      <c r="A245" s="8">
        <v>5017</v>
      </c>
      <c r="B245" s="4">
        <v>1</v>
      </c>
      <c r="C245" s="3">
        <v>38077</v>
      </c>
      <c r="D245" t="s">
        <v>77</v>
      </c>
      <c r="E245" s="6">
        <v>1630</v>
      </c>
      <c r="F245" s="165">
        <f>VLOOKUP($D$2:$D$273,Varelager!$A$2:$D$31,4)</f>
        <v>6.26</v>
      </c>
      <c r="G245" s="165">
        <f>VLOOKUP($D$2:$D$273,Varelager!$A$2:$D$31,3)</f>
        <v>12.18</v>
      </c>
      <c r="H245" s="166">
        <f t="shared" si="12"/>
        <v>19853.399999999998</v>
      </c>
      <c r="I245" s="18">
        <f t="shared" si="13"/>
        <v>2004</v>
      </c>
      <c r="J245" s="18">
        <f t="shared" si="14"/>
        <v>3</v>
      </c>
      <c r="K245" s="166">
        <f t="shared" si="15"/>
        <v>1</v>
      </c>
    </row>
    <row r="246" spans="1:11" x14ac:dyDescent="0.2">
      <c r="A246" s="8">
        <v>5017</v>
      </c>
      <c r="B246" s="4">
        <v>4</v>
      </c>
      <c r="C246" s="3">
        <v>38077</v>
      </c>
      <c r="D246" t="s">
        <v>71</v>
      </c>
      <c r="E246" s="6">
        <v>188</v>
      </c>
      <c r="F246" s="165">
        <f>VLOOKUP($D$2:$D$273,Varelager!$A$2:$D$31,4)</f>
        <v>7.52</v>
      </c>
      <c r="G246" s="165">
        <f>VLOOKUP($D$2:$D$273,Varelager!$A$2:$D$31,3)</f>
        <v>16.940000000000001</v>
      </c>
      <c r="H246" s="166">
        <f t="shared" si="12"/>
        <v>3184.7200000000003</v>
      </c>
      <c r="I246" s="18">
        <f t="shared" si="13"/>
        <v>2004</v>
      </c>
      <c r="J246" s="18">
        <f t="shared" si="14"/>
        <v>3</v>
      </c>
      <c r="K246" s="166">
        <f t="shared" si="15"/>
        <v>1</v>
      </c>
    </row>
    <row r="247" spans="1:11" x14ac:dyDescent="0.2">
      <c r="A247" s="8">
        <v>5017</v>
      </c>
      <c r="B247" s="4">
        <v>5</v>
      </c>
      <c r="C247" s="3">
        <v>38077</v>
      </c>
      <c r="D247" t="s">
        <v>77</v>
      </c>
      <c r="E247" s="6">
        <v>1564</v>
      </c>
      <c r="F247" s="165">
        <f>VLOOKUP($D$2:$D$273,Varelager!$A$2:$D$31,4)</f>
        <v>6.26</v>
      </c>
      <c r="G247" s="165">
        <f>VLOOKUP($D$2:$D$273,Varelager!$A$2:$D$31,3)</f>
        <v>12.18</v>
      </c>
      <c r="H247" s="166">
        <f t="shared" si="12"/>
        <v>19049.52</v>
      </c>
      <c r="I247" s="18">
        <f t="shared" si="13"/>
        <v>2004</v>
      </c>
      <c r="J247" s="18">
        <f t="shared" si="14"/>
        <v>3</v>
      </c>
      <c r="K247" s="166">
        <f t="shared" si="15"/>
        <v>1</v>
      </c>
    </row>
    <row r="248" spans="1:11" x14ac:dyDescent="0.2">
      <c r="A248" s="8">
        <v>5014</v>
      </c>
      <c r="B248" s="4">
        <v>1</v>
      </c>
      <c r="C248" s="3">
        <v>38077</v>
      </c>
      <c r="D248" t="s">
        <v>80</v>
      </c>
      <c r="E248" s="6">
        <v>393</v>
      </c>
      <c r="F248" s="165">
        <f>VLOOKUP($D$2:$D$273,Varelager!$A$2:$D$31,4)</f>
        <v>8.7344200000000001</v>
      </c>
      <c r="G248" s="165">
        <f>VLOOKUP($D$2:$D$273,Varelager!$A$2:$D$31,3)</f>
        <v>14.63</v>
      </c>
      <c r="H248" s="166">
        <f t="shared" si="12"/>
        <v>5749.59</v>
      </c>
      <c r="I248" s="18">
        <f t="shared" si="13"/>
        <v>2004</v>
      </c>
      <c r="J248" s="18">
        <f t="shared" si="14"/>
        <v>3</v>
      </c>
      <c r="K248" s="166">
        <f t="shared" si="15"/>
        <v>1</v>
      </c>
    </row>
    <row r="249" spans="1:11" x14ac:dyDescent="0.2">
      <c r="A249" s="8">
        <v>5014</v>
      </c>
      <c r="B249" s="4">
        <v>2</v>
      </c>
      <c r="C249" s="3">
        <v>38077</v>
      </c>
      <c r="D249" t="s">
        <v>82</v>
      </c>
      <c r="E249" s="6">
        <v>1524</v>
      </c>
      <c r="F249" s="165">
        <f>VLOOKUP($D$2:$D$273,Varelager!$A$2:$D$31,4)</f>
        <v>1.5080640000000001</v>
      </c>
      <c r="G249" s="165">
        <f>VLOOKUP($D$2:$D$273,Varelager!$A$2:$D$31,3)</f>
        <v>3</v>
      </c>
      <c r="H249" s="166">
        <f t="shared" si="12"/>
        <v>4572</v>
      </c>
      <c r="I249" s="18">
        <f t="shared" si="13"/>
        <v>2004</v>
      </c>
      <c r="J249" s="18">
        <f t="shared" si="14"/>
        <v>3</v>
      </c>
      <c r="K249" s="166">
        <f t="shared" si="15"/>
        <v>1</v>
      </c>
    </row>
    <row r="250" spans="1:11" x14ac:dyDescent="0.2">
      <c r="A250" s="8">
        <v>5014</v>
      </c>
      <c r="B250" s="4">
        <v>3</v>
      </c>
      <c r="C250" s="3">
        <v>38077</v>
      </c>
      <c r="D250" t="s">
        <v>70</v>
      </c>
      <c r="E250" s="6">
        <v>479</v>
      </c>
      <c r="F250" s="165">
        <f>VLOOKUP($D$2:$D$273,Varelager!$A$2:$D$31,4)</f>
        <v>6.03</v>
      </c>
      <c r="G250" s="165">
        <f>VLOOKUP($D$2:$D$273,Varelager!$A$2:$D$31,3)</f>
        <v>12.18</v>
      </c>
      <c r="H250" s="166">
        <f t="shared" si="12"/>
        <v>5834.22</v>
      </c>
      <c r="I250" s="18">
        <f t="shared" si="13"/>
        <v>2004</v>
      </c>
      <c r="J250" s="18">
        <f t="shared" si="14"/>
        <v>3</v>
      </c>
      <c r="K250" s="166">
        <f t="shared" si="15"/>
        <v>1</v>
      </c>
    </row>
    <row r="251" spans="1:11" x14ac:dyDescent="0.2">
      <c r="A251" s="8">
        <v>5014</v>
      </c>
      <c r="B251" s="4">
        <v>5</v>
      </c>
      <c r="C251" s="3">
        <v>38077</v>
      </c>
      <c r="D251" t="s">
        <v>70</v>
      </c>
      <c r="E251" s="6">
        <v>1361</v>
      </c>
      <c r="F251" s="165">
        <f>VLOOKUP($D$2:$D$273,Varelager!$A$2:$D$31,4)</f>
        <v>6.03</v>
      </c>
      <c r="G251" s="165">
        <f>VLOOKUP($D$2:$D$273,Varelager!$A$2:$D$31,3)</f>
        <v>12.18</v>
      </c>
      <c r="H251" s="166">
        <f t="shared" si="12"/>
        <v>16576.98</v>
      </c>
      <c r="I251" s="18">
        <f t="shared" si="13"/>
        <v>2004</v>
      </c>
      <c r="J251" s="18">
        <f t="shared" si="14"/>
        <v>3</v>
      </c>
      <c r="K251" s="166">
        <f t="shared" si="15"/>
        <v>1</v>
      </c>
    </row>
    <row r="252" spans="1:11" x14ac:dyDescent="0.2">
      <c r="A252" s="8">
        <v>5005</v>
      </c>
      <c r="B252" s="4">
        <v>4</v>
      </c>
      <c r="C252" s="3">
        <v>38045</v>
      </c>
      <c r="D252" t="s">
        <v>76</v>
      </c>
      <c r="E252" s="6">
        <v>866</v>
      </c>
      <c r="F252" s="165">
        <f>VLOOKUP($D$2:$D$273,Varelager!$A$2:$D$31,4)</f>
        <v>5.004390986602</v>
      </c>
      <c r="G252" s="165">
        <f>VLOOKUP($D$2:$D$273,Varelager!$A$2:$D$31,3)</f>
        <v>10</v>
      </c>
      <c r="H252" s="166">
        <f t="shared" si="12"/>
        <v>8660</v>
      </c>
      <c r="I252" s="18">
        <f t="shared" si="13"/>
        <v>2004</v>
      </c>
      <c r="J252" s="18">
        <f t="shared" si="14"/>
        <v>2</v>
      </c>
      <c r="K252" s="166">
        <f t="shared" si="15"/>
        <v>1</v>
      </c>
    </row>
    <row r="253" spans="1:11" x14ac:dyDescent="0.2">
      <c r="A253" s="8">
        <v>5005</v>
      </c>
      <c r="B253" s="4">
        <v>5</v>
      </c>
      <c r="C253" s="3">
        <v>38045</v>
      </c>
      <c r="D253" t="s">
        <v>71</v>
      </c>
      <c r="E253" s="6">
        <v>1839</v>
      </c>
      <c r="F253" s="165">
        <f>VLOOKUP($D$2:$D$273,Varelager!$A$2:$D$31,4)</f>
        <v>7.52</v>
      </c>
      <c r="G253" s="165">
        <f>VLOOKUP($D$2:$D$273,Varelager!$A$2:$D$31,3)</f>
        <v>16.940000000000001</v>
      </c>
      <c r="H253" s="166">
        <f t="shared" si="12"/>
        <v>31152.660000000003</v>
      </c>
      <c r="I253" s="18">
        <f t="shared" si="13"/>
        <v>2004</v>
      </c>
      <c r="J253" s="18">
        <f t="shared" si="14"/>
        <v>2</v>
      </c>
      <c r="K253" s="166">
        <f t="shared" si="15"/>
        <v>1</v>
      </c>
    </row>
    <row r="254" spans="1:11" x14ac:dyDescent="0.2">
      <c r="A254" s="8">
        <v>5244</v>
      </c>
      <c r="B254" s="4">
        <v>1</v>
      </c>
      <c r="C254" s="3">
        <v>39202</v>
      </c>
      <c r="D254" t="s">
        <v>70</v>
      </c>
      <c r="E254" s="6">
        <v>1000</v>
      </c>
      <c r="F254" s="165">
        <f>VLOOKUP($D$2:$D$273,Varelager!$A$2:$D$31,4)</f>
        <v>6.03</v>
      </c>
      <c r="G254" s="165">
        <f>VLOOKUP($D$2:$D$273,Varelager!$A$2:$D$31,3)</f>
        <v>12.18</v>
      </c>
      <c r="H254" s="166">
        <f t="shared" si="12"/>
        <v>12180</v>
      </c>
      <c r="I254" s="18">
        <f t="shared" si="13"/>
        <v>2007</v>
      </c>
      <c r="J254" s="18">
        <f t="shared" si="14"/>
        <v>4</v>
      </c>
      <c r="K254" s="166">
        <f t="shared" si="15"/>
        <v>2</v>
      </c>
    </row>
    <row r="255" spans="1:11" x14ac:dyDescent="0.2">
      <c r="A255" s="8">
        <v>5193</v>
      </c>
      <c r="B255" s="4">
        <v>1</v>
      </c>
      <c r="C255" s="3">
        <v>38595</v>
      </c>
      <c r="D255" t="s">
        <v>80</v>
      </c>
      <c r="E255" s="6">
        <v>62</v>
      </c>
      <c r="F255" s="165">
        <f>VLOOKUP($D$2:$D$273,Varelager!$A$2:$D$31,4)</f>
        <v>8.7344200000000001</v>
      </c>
      <c r="G255" s="165">
        <f>VLOOKUP($D$2:$D$273,Varelager!$A$2:$D$31,3)</f>
        <v>14.63</v>
      </c>
      <c r="H255" s="166">
        <f t="shared" si="12"/>
        <v>907.06000000000006</v>
      </c>
      <c r="I255" s="18">
        <f t="shared" si="13"/>
        <v>2005</v>
      </c>
      <c r="J255" s="18">
        <f t="shared" si="14"/>
        <v>8</v>
      </c>
      <c r="K255" s="166">
        <f t="shared" si="15"/>
        <v>3</v>
      </c>
    </row>
    <row r="256" spans="1:11" x14ac:dyDescent="0.2">
      <c r="A256" s="8">
        <v>5193</v>
      </c>
      <c r="B256" s="4">
        <v>4</v>
      </c>
      <c r="C256" s="3">
        <v>38595</v>
      </c>
      <c r="D256" t="s">
        <v>69</v>
      </c>
      <c r="E256" s="6">
        <v>481</v>
      </c>
      <c r="F256" s="165">
        <f>VLOOKUP($D$2:$D$273,Varelager!$A$2:$D$31,4)</f>
        <v>30.002954638333001</v>
      </c>
      <c r="G256" s="165">
        <f>VLOOKUP($D$2:$D$273,Varelager!$A$2:$D$31,3)</f>
        <v>35</v>
      </c>
      <c r="H256" s="166">
        <f t="shared" si="12"/>
        <v>16835</v>
      </c>
      <c r="I256" s="18">
        <f t="shared" si="13"/>
        <v>2005</v>
      </c>
      <c r="J256" s="18">
        <f t="shared" si="14"/>
        <v>8</v>
      </c>
      <c r="K256" s="166">
        <f t="shared" si="15"/>
        <v>3</v>
      </c>
    </row>
    <row r="257" spans="1:11" x14ac:dyDescent="0.2">
      <c r="A257" s="8">
        <v>5190</v>
      </c>
      <c r="B257" s="4">
        <v>1</v>
      </c>
      <c r="C257" s="3">
        <v>38595</v>
      </c>
      <c r="D257" t="s">
        <v>70</v>
      </c>
      <c r="E257" s="6">
        <v>36</v>
      </c>
      <c r="F257" s="165">
        <f>VLOOKUP($D$2:$D$273,Varelager!$A$2:$D$31,4)</f>
        <v>6.03</v>
      </c>
      <c r="G257" s="165">
        <f>VLOOKUP($D$2:$D$273,Varelager!$A$2:$D$31,3)</f>
        <v>12.18</v>
      </c>
      <c r="H257" s="166">
        <f t="shared" si="12"/>
        <v>438.48</v>
      </c>
      <c r="I257" s="18">
        <f t="shared" si="13"/>
        <v>2005</v>
      </c>
      <c r="J257" s="18">
        <f t="shared" si="14"/>
        <v>8</v>
      </c>
      <c r="K257" s="166">
        <f t="shared" si="15"/>
        <v>3</v>
      </c>
    </row>
    <row r="258" spans="1:11" x14ac:dyDescent="0.2">
      <c r="A258" s="8">
        <v>5190</v>
      </c>
      <c r="B258" s="4">
        <v>2</v>
      </c>
      <c r="C258" s="3">
        <v>38595</v>
      </c>
      <c r="D258" t="s">
        <v>77</v>
      </c>
      <c r="E258" s="6">
        <v>474</v>
      </c>
      <c r="F258" s="165">
        <f>VLOOKUP($D$2:$D$273,Varelager!$A$2:$D$31,4)</f>
        <v>6.26</v>
      </c>
      <c r="G258" s="165">
        <f>VLOOKUP($D$2:$D$273,Varelager!$A$2:$D$31,3)</f>
        <v>12.18</v>
      </c>
      <c r="H258" s="166">
        <f t="shared" si="12"/>
        <v>5773.32</v>
      </c>
      <c r="I258" s="18">
        <f t="shared" si="13"/>
        <v>2005</v>
      </c>
      <c r="J258" s="18">
        <f t="shared" si="14"/>
        <v>8</v>
      </c>
      <c r="K258" s="166">
        <f t="shared" si="15"/>
        <v>3</v>
      </c>
    </row>
    <row r="259" spans="1:11" x14ac:dyDescent="0.2">
      <c r="A259" s="8">
        <v>5144</v>
      </c>
      <c r="B259" s="4">
        <v>3</v>
      </c>
      <c r="C259" s="3">
        <v>38442</v>
      </c>
      <c r="D259" t="s">
        <v>71</v>
      </c>
      <c r="E259" s="6">
        <v>193</v>
      </c>
      <c r="F259" s="165">
        <f>VLOOKUP($D$2:$D$273,Varelager!$A$2:$D$31,4)</f>
        <v>7.52</v>
      </c>
      <c r="G259" s="165">
        <f>VLOOKUP($D$2:$D$273,Varelager!$A$2:$D$31,3)</f>
        <v>16.940000000000001</v>
      </c>
      <c r="H259" s="166">
        <f t="shared" ref="H259:H273" si="16">G259*E259</f>
        <v>3269.42</v>
      </c>
      <c r="I259" s="18">
        <f t="shared" ref="I259:I273" si="17">YEAR(C259)</f>
        <v>2005</v>
      </c>
      <c r="J259" s="18">
        <f t="shared" ref="J259:J273" si="18">MONTH(C259)</f>
        <v>3</v>
      </c>
      <c r="K259" s="166">
        <f t="shared" ref="K259:K273" si="19">IF(J259&lt;=3,1,IF(J259=4,2,IF(J259=5,2,IF(J259=6,2,IF(J259=7,3,IF(J259=8,3,IF(J259=9,3,IF(J259&gt;9,4))))))))</f>
        <v>1</v>
      </c>
    </row>
    <row r="260" spans="1:11" x14ac:dyDescent="0.2">
      <c r="A260" s="8">
        <v>5144</v>
      </c>
      <c r="B260" s="4">
        <v>4</v>
      </c>
      <c r="C260" s="3">
        <v>38442</v>
      </c>
      <c r="D260" t="s">
        <v>70</v>
      </c>
      <c r="E260" s="6">
        <v>614</v>
      </c>
      <c r="F260" s="165">
        <f>VLOOKUP($D$2:$D$273,Varelager!$A$2:$D$31,4)</f>
        <v>6.03</v>
      </c>
      <c r="G260" s="165">
        <f>VLOOKUP($D$2:$D$273,Varelager!$A$2:$D$31,3)</f>
        <v>12.18</v>
      </c>
      <c r="H260" s="166">
        <f t="shared" si="16"/>
        <v>7478.5199999999995</v>
      </c>
      <c r="I260" s="18">
        <f t="shared" si="17"/>
        <v>2005</v>
      </c>
      <c r="J260" s="18">
        <f t="shared" si="18"/>
        <v>3</v>
      </c>
      <c r="K260" s="166">
        <f t="shared" si="19"/>
        <v>1</v>
      </c>
    </row>
    <row r="261" spans="1:11" x14ac:dyDescent="0.2">
      <c r="A261" s="8">
        <v>5124</v>
      </c>
      <c r="B261" s="4">
        <v>2</v>
      </c>
      <c r="C261" s="3">
        <v>38383</v>
      </c>
      <c r="D261" t="s">
        <v>69</v>
      </c>
      <c r="E261" s="6">
        <v>255</v>
      </c>
      <c r="F261" s="165">
        <f>VLOOKUP($D$2:$D$273,Varelager!$A$2:$D$31,4)</f>
        <v>30.002954638333001</v>
      </c>
      <c r="G261" s="165">
        <f>VLOOKUP($D$2:$D$273,Varelager!$A$2:$D$31,3)</f>
        <v>35</v>
      </c>
      <c r="H261" s="166">
        <f t="shared" si="16"/>
        <v>8925</v>
      </c>
      <c r="I261" s="18">
        <f t="shared" si="17"/>
        <v>2005</v>
      </c>
      <c r="J261" s="18">
        <f t="shared" si="18"/>
        <v>1</v>
      </c>
      <c r="K261" s="166">
        <f t="shared" si="19"/>
        <v>1</v>
      </c>
    </row>
    <row r="262" spans="1:11" x14ac:dyDescent="0.2">
      <c r="A262" s="8">
        <v>5124</v>
      </c>
      <c r="B262" s="4">
        <v>4</v>
      </c>
      <c r="C262" s="3">
        <v>38383</v>
      </c>
      <c r="D262" t="s">
        <v>77</v>
      </c>
      <c r="E262" s="6">
        <v>151</v>
      </c>
      <c r="F262" s="165">
        <f>VLOOKUP($D$2:$D$273,Varelager!$A$2:$D$31,4)</f>
        <v>6.26</v>
      </c>
      <c r="G262" s="165">
        <f>VLOOKUP($D$2:$D$273,Varelager!$A$2:$D$31,3)</f>
        <v>12.18</v>
      </c>
      <c r="H262" s="166">
        <f t="shared" si="16"/>
        <v>1839.18</v>
      </c>
      <c r="I262" s="18">
        <f t="shared" si="17"/>
        <v>2005</v>
      </c>
      <c r="J262" s="18">
        <f t="shared" si="18"/>
        <v>1</v>
      </c>
      <c r="K262" s="166">
        <f t="shared" si="19"/>
        <v>1</v>
      </c>
    </row>
    <row r="263" spans="1:11" x14ac:dyDescent="0.2">
      <c r="A263" s="8">
        <v>5124</v>
      </c>
      <c r="B263" s="4">
        <v>6</v>
      </c>
      <c r="C263" s="3">
        <v>38383</v>
      </c>
      <c r="D263" t="s">
        <v>82</v>
      </c>
      <c r="E263" s="6">
        <v>1286</v>
      </c>
      <c r="F263" s="165">
        <f>VLOOKUP($D$2:$D$273,Varelager!$A$2:$D$31,4)</f>
        <v>1.5080640000000001</v>
      </c>
      <c r="G263" s="165">
        <f>VLOOKUP($D$2:$D$273,Varelager!$A$2:$D$31,3)</f>
        <v>3</v>
      </c>
      <c r="H263" s="166">
        <f t="shared" si="16"/>
        <v>3858</v>
      </c>
      <c r="I263" s="18">
        <f t="shared" si="17"/>
        <v>2005</v>
      </c>
      <c r="J263" s="18">
        <f t="shared" si="18"/>
        <v>1</v>
      </c>
      <c r="K263" s="166">
        <f t="shared" si="19"/>
        <v>1</v>
      </c>
    </row>
    <row r="264" spans="1:11" x14ac:dyDescent="0.2">
      <c r="A264" s="8">
        <v>5124</v>
      </c>
      <c r="B264" s="4">
        <v>8</v>
      </c>
      <c r="C264" s="3">
        <v>38383</v>
      </c>
      <c r="D264" t="s">
        <v>71</v>
      </c>
      <c r="E264" s="6">
        <v>1455</v>
      </c>
      <c r="F264" s="165">
        <f>VLOOKUP($D$2:$D$273,Varelager!$A$2:$D$31,4)</f>
        <v>7.52</v>
      </c>
      <c r="G264" s="165">
        <f>VLOOKUP($D$2:$D$273,Varelager!$A$2:$D$31,3)</f>
        <v>16.940000000000001</v>
      </c>
      <c r="H264" s="166">
        <f t="shared" si="16"/>
        <v>24647.7</v>
      </c>
      <c r="I264" s="18">
        <f t="shared" si="17"/>
        <v>2005</v>
      </c>
      <c r="J264" s="18">
        <f t="shared" si="18"/>
        <v>1</v>
      </c>
      <c r="K264" s="166">
        <f t="shared" si="19"/>
        <v>1</v>
      </c>
    </row>
    <row r="265" spans="1:11" x14ac:dyDescent="0.2">
      <c r="A265" s="8">
        <v>5101</v>
      </c>
      <c r="B265" s="4">
        <v>1</v>
      </c>
      <c r="C265" s="3">
        <v>38321</v>
      </c>
      <c r="D265" t="s">
        <v>71</v>
      </c>
      <c r="E265" s="6">
        <v>913</v>
      </c>
      <c r="F265" s="165">
        <f>VLOOKUP($D$2:$D$273,Varelager!$A$2:$D$31,4)</f>
        <v>7.52</v>
      </c>
      <c r="G265" s="165">
        <f>VLOOKUP($D$2:$D$273,Varelager!$A$2:$D$31,3)</f>
        <v>16.940000000000001</v>
      </c>
      <c r="H265" s="166">
        <f t="shared" si="16"/>
        <v>15466.220000000001</v>
      </c>
      <c r="I265" s="18">
        <f t="shared" si="17"/>
        <v>2004</v>
      </c>
      <c r="J265" s="18">
        <f t="shared" si="18"/>
        <v>11</v>
      </c>
      <c r="K265" s="166">
        <f t="shared" si="19"/>
        <v>4</v>
      </c>
    </row>
    <row r="266" spans="1:11" x14ac:dyDescent="0.2">
      <c r="A266" s="8">
        <v>5082</v>
      </c>
      <c r="B266" s="4">
        <v>1</v>
      </c>
      <c r="C266" s="3">
        <v>38260</v>
      </c>
      <c r="D266" t="s">
        <v>82</v>
      </c>
      <c r="E266" s="6">
        <v>1287</v>
      </c>
      <c r="F266" s="165">
        <f>VLOOKUP($D$2:$D$273,Varelager!$A$2:$D$31,4)</f>
        <v>1.5080640000000001</v>
      </c>
      <c r="G266" s="165">
        <f>VLOOKUP($D$2:$D$273,Varelager!$A$2:$D$31,3)</f>
        <v>3</v>
      </c>
      <c r="H266" s="166">
        <f t="shared" si="16"/>
        <v>3861</v>
      </c>
      <c r="I266" s="18">
        <f t="shared" si="17"/>
        <v>2004</v>
      </c>
      <c r="J266" s="18">
        <f t="shared" si="18"/>
        <v>9</v>
      </c>
      <c r="K266" s="166">
        <f t="shared" si="19"/>
        <v>3</v>
      </c>
    </row>
    <row r="267" spans="1:11" x14ac:dyDescent="0.2">
      <c r="A267" s="8">
        <v>5082</v>
      </c>
      <c r="B267" s="4">
        <v>2</v>
      </c>
      <c r="C267" s="3">
        <v>38260</v>
      </c>
      <c r="D267" t="s">
        <v>70</v>
      </c>
      <c r="E267" s="6">
        <v>1378</v>
      </c>
      <c r="F267" s="165">
        <f>VLOOKUP($D$2:$D$273,Varelager!$A$2:$D$31,4)</f>
        <v>6.03</v>
      </c>
      <c r="G267" s="165">
        <f>VLOOKUP($D$2:$D$273,Varelager!$A$2:$D$31,3)</f>
        <v>12.18</v>
      </c>
      <c r="H267" s="166">
        <f t="shared" si="16"/>
        <v>16784.04</v>
      </c>
      <c r="I267" s="18">
        <f t="shared" si="17"/>
        <v>2004</v>
      </c>
      <c r="J267" s="18">
        <f t="shared" si="18"/>
        <v>9</v>
      </c>
      <c r="K267" s="166">
        <f t="shared" si="19"/>
        <v>3</v>
      </c>
    </row>
    <row r="268" spans="1:11" x14ac:dyDescent="0.2">
      <c r="A268" s="8">
        <v>5069</v>
      </c>
      <c r="B268" s="4">
        <v>2</v>
      </c>
      <c r="C268" s="3">
        <v>38230</v>
      </c>
      <c r="D268" t="s">
        <v>71</v>
      </c>
      <c r="E268" s="6">
        <v>1481</v>
      </c>
      <c r="F268" s="165">
        <f>VLOOKUP($D$2:$D$273,Varelager!$A$2:$D$31,4)</f>
        <v>7.52</v>
      </c>
      <c r="G268" s="165">
        <f>VLOOKUP($D$2:$D$273,Varelager!$A$2:$D$31,3)</f>
        <v>16.940000000000001</v>
      </c>
      <c r="H268" s="166">
        <f t="shared" si="16"/>
        <v>25088.140000000003</v>
      </c>
      <c r="I268" s="18">
        <f t="shared" si="17"/>
        <v>2004</v>
      </c>
      <c r="J268" s="18">
        <f t="shared" si="18"/>
        <v>8</v>
      </c>
      <c r="K268" s="166">
        <f t="shared" si="19"/>
        <v>3</v>
      </c>
    </row>
    <row r="269" spans="1:11" x14ac:dyDescent="0.2">
      <c r="A269" s="8">
        <v>5067</v>
      </c>
      <c r="B269" s="4">
        <v>1</v>
      </c>
      <c r="C269" s="3">
        <v>38230</v>
      </c>
      <c r="D269" t="s">
        <v>71</v>
      </c>
      <c r="E269" s="6">
        <v>710</v>
      </c>
      <c r="F269" s="165">
        <f>VLOOKUP($D$2:$D$273,Varelager!$A$2:$D$31,4)</f>
        <v>7.52</v>
      </c>
      <c r="G269" s="165">
        <f>VLOOKUP($D$2:$D$273,Varelager!$A$2:$D$31,3)</f>
        <v>16.940000000000001</v>
      </c>
      <c r="H269" s="166">
        <f t="shared" si="16"/>
        <v>12027.400000000001</v>
      </c>
      <c r="I269" s="18">
        <f t="shared" si="17"/>
        <v>2004</v>
      </c>
      <c r="J269" s="18">
        <f t="shared" si="18"/>
        <v>8</v>
      </c>
      <c r="K269" s="166">
        <f t="shared" si="19"/>
        <v>3</v>
      </c>
    </row>
    <row r="270" spans="1:11" x14ac:dyDescent="0.2">
      <c r="A270" s="8">
        <v>5067</v>
      </c>
      <c r="B270" s="4">
        <v>2</v>
      </c>
      <c r="C270" s="3">
        <v>38230</v>
      </c>
      <c r="D270" t="s">
        <v>77</v>
      </c>
      <c r="E270" s="6">
        <v>563</v>
      </c>
      <c r="F270" s="165">
        <f>VLOOKUP($D$2:$D$273,Varelager!$A$2:$D$31,4)</f>
        <v>6.26</v>
      </c>
      <c r="G270" s="165">
        <f>VLOOKUP($D$2:$D$273,Varelager!$A$2:$D$31,3)</f>
        <v>12.18</v>
      </c>
      <c r="H270" s="166">
        <f t="shared" si="16"/>
        <v>6857.34</v>
      </c>
      <c r="I270" s="18">
        <f t="shared" si="17"/>
        <v>2004</v>
      </c>
      <c r="J270" s="18">
        <f t="shared" si="18"/>
        <v>8</v>
      </c>
      <c r="K270" s="166">
        <f t="shared" si="19"/>
        <v>3</v>
      </c>
    </row>
    <row r="271" spans="1:11" x14ac:dyDescent="0.2">
      <c r="A271" s="8">
        <v>5067</v>
      </c>
      <c r="B271" s="4">
        <v>3</v>
      </c>
      <c r="C271" s="3">
        <v>38230</v>
      </c>
      <c r="D271" t="s">
        <v>70</v>
      </c>
      <c r="E271" s="6">
        <v>1431</v>
      </c>
      <c r="F271" s="165">
        <f>VLOOKUP($D$2:$D$273,Varelager!$A$2:$D$31,4)</f>
        <v>6.03</v>
      </c>
      <c r="G271" s="165">
        <f>VLOOKUP($D$2:$D$273,Varelager!$A$2:$D$31,3)</f>
        <v>12.18</v>
      </c>
      <c r="H271" s="166">
        <f t="shared" si="16"/>
        <v>17429.579999999998</v>
      </c>
      <c r="I271" s="18">
        <f t="shared" si="17"/>
        <v>2004</v>
      </c>
      <c r="J271" s="18">
        <f t="shared" si="18"/>
        <v>8</v>
      </c>
      <c r="K271" s="166">
        <f t="shared" si="19"/>
        <v>3</v>
      </c>
    </row>
    <row r="272" spans="1:11" x14ac:dyDescent="0.2">
      <c r="A272" s="8">
        <v>5053</v>
      </c>
      <c r="B272" s="4">
        <v>2</v>
      </c>
      <c r="C272" s="3">
        <v>38199</v>
      </c>
      <c r="D272" t="s">
        <v>70</v>
      </c>
      <c r="E272" s="6">
        <v>1456</v>
      </c>
      <c r="F272" s="165">
        <f>VLOOKUP($D$2:$D$273,Varelager!$A$2:$D$31,4)</f>
        <v>6.03</v>
      </c>
      <c r="G272" s="165">
        <f>VLOOKUP($D$2:$D$273,Varelager!$A$2:$D$31,3)</f>
        <v>12.18</v>
      </c>
      <c r="H272" s="166">
        <f t="shared" si="16"/>
        <v>17734.079999999998</v>
      </c>
      <c r="I272" s="18">
        <f t="shared" si="17"/>
        <v>2004</v>
      </c>
      <c r="J272" s="18">
        <f t="shared" si="18"/>
        <v>7</v>
      </c>
      <c r="K272" s="166">
        <f t="shared" si="19"/>
        <v>3</v>
      </c>
    </row>
    <row r="273" spans="1:11" x14ac:dyDescent="0.2">
      <c r="A273" s="8">
        <v>5043</v>
      </c>
      <c r="B273" s="4">
        <v>1</v>
      </c>
      <c r="C273" s="3">
        <v>38138</v>
      </c>
      <c r="D273" t="s">
        <v>70</v>
      </c>
      <c r="E273" s="6">
        <v>1744</v>
      </c>
      <c r="F273" s="165">
        <f>VLOOKUP($D$2:$D$273,Varelager!$A$2:$D$31,4)</f>
        <v>6.03</v>
      </c>
      <c r="G273" s="165">
        <f>VLOOKUP($D$2:$D$273,Varelager!$A$2:$D$31,3)</f>
        <v>12.18</v>
      </c>
      <c r="H273" s="166">
        <f t="shared" si="16"/>
        <v>21241.919999999998</v>
      </c>
      <c r="I273" s="18">
        <f t="shared" si="17"/>
        <v>2004</v>
      </c>
      <c r="J273" s="18">
        <f t="shared" si="18"/>
        <v>5</v>
      </c>
      <c r="K273" s="166">
        <f t="shared" si="19"/>
        <v>2</v>
      </c>
    </row>
  </sheetData>
  <phoneticPr fontId="0" type="noConversion"/>
  <pageMargins left="0.75" right="0.75" top="1" bottom="1" header="0.5" footer="0.5"/>
  <pageSetup paperSize="9" scale="57" fitToHeight="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workbookViewId="0">
      <selection activeCell="A33" sqref="A33"/>
    </sheetView>
  </sheetViews>
  <sheetFormatPr defaultRowHeight="12.75" x14ac:dyDescent="0.2"/>
  <cols>
    <col min="1" max="1" width="19.5703125" customWidth="1"/>
    <col min="2" max="2" width="25.85546875" customWidth="1"/>
    <col min="3" max="3" width="12.140625" style="7" bestFit="1" customWidth="1"/>
    <col min="4" max="4" width="12" style="7" bestFit="1" customWidth="1"/>
  </cols>
  <sheetData>
    <row r="1" spans="1:4" x14ac:dyDescent="0.2">
      <c r="A1" s="31" t="s">
        <v>177</v>
      </c>
      <c r="B1" s="31" t="s">
        <v>176</v>
      </c>
      <c r="C1" s="32" t="s">
        <v>65</v>
      </c>
      <c r="D1" s="32" t="s">
        <v>64</v>
      </c>
    </row>
    <row r="2" spans="1:4" x14ac:dyDescent="0.2">
      <c r="A2" t="s">
        <v>86</v>
      </c>
      <c r="B2" t="s">
        <v>124</v>
      </c>
      <c r="C2" s="7">
        <v>3</v>
      </c>
      <c r="D2" s="7">
        <v>2</v>
      </c>
    </row>
    <row r="3" spans="1:4" x14ac:dyDescent="0.2">
      <c r="A3" t="s">
        <v>90</v>
      </c>
      <c r="B3" t="s">
        <v>123</v>
      </c>
      <c r="C3" s="7">
        <v>3.5</v>
      </c>
      <c r="D3" s="7">
        <v>2</v>
      </c>
    </row>
    <row r="4" spans="1:4" x14ac:dyDescent="0.2">
      <c r="A4" t="s">
        <v>71</v>
      </c>
      <c r="B4" t="s">
        <v>94</v>
      </c>
      <c r="C4" s="7">
        <v>16.940000000000001</v>
      </c>
      <c r="D4" s="7">
        <v>7.52</v>
      </c>
    </row>
    <row r="5" spans="1:4" x14ac:dyDescent="0.2">
      <c r="A5" t="s">
        <v>70</v>
      </c>
      <c r="B5" t="s">
        <v>110</v>
      </c>
      <c r="C5" s="7">
        <v>12.18</v>
      </c>
      <c r="D5" s="7">
        <v>6.03</v>
      </c>
    </row>
    <row r="6" spans="1:4" x14ac:dyDescent="0.2">
      <c r="A6" t="s">
        <v>77</v>
      </c>
      <c r="B6" t="s">
        <v>109</v>
      </c>
      <c r="C6" s="7">
        <v>12.18</v>
      </c>
      <c r="D6" s="7">
        <v>6.26</v>
      </c>
    </row>
    <row r="7" spans="1:4" x14ac:dyDescent="0.2">
      <c r="A7" t="s">
        <v>80</v>
      </c>
      <c r="B7" t="s">
        <v>111</v>
      </c>
      <c r="C7" s="7">
        <v>14.63</v>
      </c>
      <c r="D7" s="7">
        <v>8.7344200000000001</v>
      </c>
    </row>
    <row r="8" spans="1:4" x14ac:dyDescent="0.2">
      <c r="A8" t="s">
        <v>89</v>
      </c>
      <c r="B8" t="s">
        <v>112</v>
      </c>
      <c r="C8" s="7">
        <v>28.22</v>
      </c>
      <c r="D8" s="7">
        <v>20.63</v>
      </c>
    </row>
    <row r="9" spans="1:4" x14ac:dyDescent="0.2">
      <c r="A9" t="s">
        <v>92</v>
      </c>
      <c r="B9" t="s">
        <v>129</v>
      </c>
      <c r="C9" s="7">
        <v>20</v>
      </c>
      <c r="D9" s="7">
        <v>16.0031</v>
      </c>
    </row>
    <row r="10" spans="1:4" x14ac:dyDescent="0.2">
      <c r="A10" t="s">
        <v>95</v>
      </c>
      <c r="B10" t="s">
        <v>96</v>
      </c>
      <c r="C10" s="7">
        <v>4</v>
      </c>
      <c r="D10" s="7">
        <v>2</v>
      </c>
    </row>
    <row r="11" spans="1:4" x14ac:dyDescent="0.2">
      <c r="A11" t="s">
        <v>83</v>
      </c>
      <c r="B11" t="s">
        <v>126</v>
      </c>
      <c r="C11" s="7">
        <v>8</v>
      </c>
      <c r="D11" s="7">
        <v>2.0232376936469998</v>
      </c>
    </row>
    <row r="12" spans="1:4" x14ac:dyDescent="0.2">
      <c r="A12" t="s">
        <v>107</v>
      </c>
      <c r="B12" t="s">
        <v>108</v>
      </c>
      <c r="C12" s="7">
        <v>2</v>
      </c>
      <c r="D12" s="7">
        <v>1</v>
      </c>
    </row>
    <row r="13" spans="1:4" x14ac:dyDescent="0.2">
      <c r="A13" t="s">
        <v>78</v>
      </c>
      <c r="B13" t="s">
        <v>115</v>
      </c>
      <c r="C13" s="7">
        <v>30</v>
      </c>
      <c r="D13" s="7">
        <v>9.9931903276130001</v>
      </c>
    </row>
    <row r="14" spans="1:4" x14ac:dyDescent="0.2">
      <c r="A14" t="s">
        <v>74</v>
      </c>
      <c r="B14" t="s">
        <v>116</v>
      </c>
      <c r="C14" s="7">
        <v>20</v>
      </c>
      <c r="D14" s="7">
        <v>9.9947210300429994</v>
      </c>
    </row>
    <row r="15" spans="1:4" x14ac:dyDescent="0.2">
      <c r="A15" t="s">
        <v>75</v>
      </c>
      <c r="B15" t="s">
        <v>117</v>
      </c>
      <c r="C15" s="7">
        <v>30</v>
      </c>
      <c r="D15" s="7">
        <v>20.001969650985998</v>
      </c>
    </row>
    <row r="16" spans="1:4" x14ac:dyDescent="0.2">
      <c r="A16" t="s">
        <v>69</v>
      </c>
      <c r="B16" t="s">
        <v>118</v>
      </c>
      <c r="C16" s="7">
        <v>35</v>
      </c>
      <c r="D16" s="7">
        <v>30.002954638333001</v>
      </c>
    </row>
    <row r="17" spans="1:4" x14ac:dyDescent="0.2">
      <c r="A17" t="s">
        <v>88</v>
      </c>
      <c r="B17" t="s">
        <v>121</v>
      </c>
      <c r="C17" s="7">
        <v>40</v>
      </c>
      <c r="D17" s="7">
        <v>19.997426470588</v>
      </c>
    </row>
    <row r="18" spans="1:4" x14ac:dyDescent="0.2">
      <c r="A18" t="s">
        <v>87</v>
      </c>
      <c r="B18" t="s">
        <v>103</v>
      </c>
      <c r="C18" s="7">
        <v>2</v>
      </c>
      <c r="D18" s="7">
        <v>1</v>
      </c>
    </row>
    <row r="19" spans="1:4" x14ac:dyDescent="0.2">
      <c r="A19" t="s">
        <v>84</v>
      </c>
      <c r="B19" t="s">
        <v>104</v>
      </c>
      <c r="C19" s="7">
        <v>0</v>
      </c>
      <c r="D19" s="7">
        <v>0.50000150000200005</v>
      </c>
    </row>
    <row r="20" spans="1:4" x14ac:dyDescent="0.2">
      <c r="A20" t="s">
        <v>97</v>
      </c>
      <c r="B20" t="s">
        <v>98</v>
      </c>
      <c r="C20" s="7">
        <v>4</v>
      </c>
      <c r="D20" s="7">
        <v>2</v>
      </c>
    </row>
    <row r="21" spans="1:4" x14ac:dyDescent="0.2">
      <c r="A21" t="s">
        <v>76</v>
      </c>
      <c r="B21" t="s">
        <v>120</v>
      </c>
      <c r="C21" s="7">
        <v>10</v>
      </c>
      <c r="D21" s="7">
        <v>5.004390986602</v>
      </c>
    </row>
    <row r="22" spans="1:4" x14ac:dyDescent="0.2">
      <c r="A22" t="s">
        <v>81</v>
      </c>
      <c r="B22" t="s">
        <v>113</v>
      </c>
      <c r="C22" s="7">
        <v>10</v>
      </c>
      <c r="D22" s="7">
        <v>5</v>
      </c>
    </row>
    <row r="23" spans="1:4" x14ac:dyDescent="0.2">
      <c r="A23" t="s">
        <v>127</v>
      </c>
      <c r="B23" t="s">
        <v>128</v>
      </c>
      <c r="C23" s="7">
        <v>0</v>
      </c>
      <c r="D23" s="7">
        <v>0.5</v>
      </c>
    </row>
    <row r="24" spans="1:4" x14ac:dyDescent="0.2">
      <c r="A24" t="s">
        <v>72</v>
      </c>
      <c r="B24" t="s">
        <v>114</v>
      </c>
      <c r="C24" s="7">
        <v>20</v>
      </c>
      <c r="D24" s="7">
        <v>7.9976700000000003</v>
      </c>
    </row>
    <row r="25" spans="1:4" x14ac:dyDescent="0.2">
      <c r="A25" t="s">
        <v>79</v>
      </c>
      <c r="B25" t="s">
        <v>119</v>
      </c>
      <c r="C25" s="7">
        <v>38</v>
      </c>
      <c r="D25" s="7">
        <v>14</v>
      </c>
    </row>
    <row r="26" spans="1:4" x14ac:dyDescent="0.2">
      <c r="A26" t="s">
        <v>85</v>
      </c>
      <c r="B26" t="s">
        <v>122</v>
      </c>
      <c r="C26" s="7">
        <v>0</v>
      </c>
      <c r="D26" s="7">
        <v>5</v>
      </c>
    </row>
    <row r="27" spans="1:4" x14ac:dyDescent="0.2">
      <c r="A27" t="s">
        <v>105</v>
      </c>
      <c r="B27" t="s">
        <v>106</v>
      </c>
      <c r="C27" s="7">
        <v>0.5</v>
      </c>
      <c r="D27" s="7">
        <v>0.25435200000000002</v>
      </c>
    </row>
    <row r="28" spans="1:4" x14ac:dyDescent="0.2">
      <c r="A28" t="s">
        <v>101</v>
      </c>
      <c r="B28" t="s">
        <v>102</v>
      </c>
      <c r="C28" s="7">
        <v>2</v>
      </c>
      <c r="D28" s="7">
        <v>1</v>
      </c>
    </row>
    <row r="29" spans="1:4" x14ac:dyDescent="0.2">
      <c r="A29" t="s">
        <v>99</v>
      </c>
      <c r="B29" t="s">
        <v>100</v>
      </c>
      <c r="C29" s="7">
        <v>2.4</v>
      </c>
      <c r="D29" s="7">
        <v>1.2</v>
      </c>
    </row>
    <row r="30" spans="1:4" x14ac:dyDescent="0.2">
      <c r="A30" t="s">
        <v>82</v>
      </c>
      <c r="B30" t="s">
        <v>125</v>
      </c>
      <c r="C30" s="7">
        <v>3</v>
      </c>
      <c r="D30" s="7">
        <v>1.5080640000000001</v>
      </c>
    </row>
    <row r="31" spans="1:4" x14ac:dyDescent="0.2">
      <c r="A31" t="s">
        <v>91</v>
      </c>
      <c r="B31" t="s">
        <v>130</v>
      </c>
      <c r="C31" s="7">
        <v>100</v>
      </c>
      <c r="D31" s="7">
        <v>50</v>
      </c>
    </row>
  </sheetData>
  <phoneticPr fontId="0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0" zoomScale="110" zoomScaleNormal="110" workbookViewId="0">
      <selection activeCell="G10" sqref="G10"/>
    </sheetView>
  </sheetViews>
  <sheetFormatPr defaultRowHeight="12.75" x14ac:dyDescent="0.2"/>
  <cols>
    <col min="1" max="1" width="16" customWidth="1"/>
    <col min="2" max="3" width="15" customWidth="1"/>
    <col min="4" max="4" width="17.5703125" customWidth="1"/>
    <col min="5" max="5" width="15" customWidth="1"/>
    <col min="6" max="6" width="20.7109375" customWidth="1"/>
    <col min="7" max="11" width="14.140625" customWidth="1"/>
  </cols>
  <sheetData>
    <row r="1" spans="1:6" ht="22.5" x14ac:dyDescent="0.45">
      <c r="A1" s="14" t="s">
        <v>167</v>
      </c>
    </row>
    <row r="2" spans="1:6" ht="15.75" thickBot="1" x14ac:dyDescent="0.25">
      <c r="B2" s="34"/>
      <c r="C2" s="34"/>
    </row>
    <row r="3" spans="1:6" ht="15.75" thickBot="1" x14ac:dyDescent="0.25">
      <c r="A3" s="172" t="s">
        <v>197</v>
      </c>
      <c r="B3" s="173"/>
      <c r="C3" s="173"/>
      <c r="D3" s="173"/>
      <c r="E3" s="174"/>
    </row>
    <row r="4" spans="1:6" ht="13.5" thickBot="1" x14ac:dyDescent="0.25">
      <c r="A4" s="35"/>
      <c r="B4" s="36">
        <v>2008</v>
      </c>
      <c r="C4" s="36">
        <v>2009</v>
      </c>
      <c r="D4" s="36">
        <v>2010</v>
      </c>
      <c r="E4" s="36">
        <v>2011</v>
      </c>
    </row>
    <row r="5" spans="1:6" x14ac:dyDescent="0.2">
      <c r="A5" s="37" t="s">
        <v>198</v>
      </c>
      <c r="B5" s="38">
        <v>10000</v>
      </c>
      <c r="C5" s="39">
        <v>10660</v>
      </c>
      <c r="D5" s="40">
        <v>11500</v>
      </c>
      <c r="E5" s="39">
        <v>12100</v>
      </c>
    </row>
    <row r="6" spans="1:6" x14ac:dyDescent="0.2">
      <c r="A6" s="41" t="s">
        <v>199</v>
      </c>
      <c r="B6" s="38">
        <v>11000</v>
      </c>
      <c r="C6" s="42">
        <v>11700</v>
      </c>
      <c r="D6" s="40">
        <v>12100</v>
      </c>
      <c r="E6" s="42">
        <v>12700</v>
      </c>
    </row>
    <row r="7" spans="1:6" x14ac:dyDescent="0.2">
      <c r="A7" s="41" t="s">
        <v>200</v>
      </c>
      <c r="B7" s="38">
        <v>13000</v>
      </c>
      <c r="C7" s="42">
        <v>13500</v>
      </c>
      <c r="D7" s="40">
        <v>14200</v>
      </c>
      <c r="E7" s="42">
        <v>14700</v>
      </c>
    </row>
    <row r="8" spans="1:6" ht="13.5" thickBot="1" x14ac:dyDescent="0.25">
      <c r="A8" s="43" t="s">
        <v>201</v>
      </c>
      <c r="B8" s="44">
        <v>9000</v>
      </c>
      <c r="C8" s="45">
        <v>9300</v>
      </c>
      <c r="D8" s="46">
        <v>9900</v>
      </c>
      <c r="E8" s="45">
        <v>10400</v>
      </c>
    </row>
    <row r="10" spans="1:6" ht="15.75" thickBot="1" x14ac:dyDescent="0.25">
      <c r="A10" s="34" t="s">
        <v>196</v>
      </c>
    </row>
    <row r="11" spans="1:6" ht="13.5" thickBot="1" x14ac:dyDescent="0.25">
      <c r="A11" s="265" t="s">
        <v>195</v>
      </c>
      <c r="B11" s="266" t="s">
        <v>194</v>
      </c>
      <c r="C11" s="267" t="s">
        <v>290</v>
      </c>
      <c r="D11" s="267" t="s">
        <v>289</v>
      </c>
      <c r="E11" s="268" t="s">
        <v>291</v>
      </c>
      <c r="F11" s="270" t="s">
        <v>300</v>
      </c>
    </row>
    <row r="12" spans="1:6" ht="13.5" thickBot="1" x14ac:dyDescent="0.25">
      <c r="A12" s="237" t="s">
        <v>178</v>
      </c>
      <c r="B12" s="238">
        <v>10000</v>
      </c>
      <c r="C12" s="244">
        <v>100</v>
      </c>
      <c r="D12" s="254"/>
      <c r="E12" s="254"/>
      <c r="F12" s="253">
        <f>C12/C31</f>
        <v>95.542540103904557</v>
      </c>
    </row>
    <row r="13" spans="1:6" ht="13.5" thickBot="1" x14ac:dyDescent="0.25">
      <c r="A13" s="239" t="s">
        <v>179</v>
      </c>
      <c r="B13" s="19">
        <v>11000</v>
      </c>
      <c r="C13" s="245">
        <v>100</v>
      </c>
      <c r="D13" s="255"/>
      <c r="E13" s="255"/>
      <c r="F13" s="253">
        <f t="shared" ref="F13:F15" si="0">C13/C32</f>
        <v>99.652303329802848</v>
      </c>
    </row>
    <row r="14" spans="1:6" ht="13.5" thickBot="1" x14ac:dyDescent="0.25">
      <c r="A14" s="239" t="s">
        <v>180</v>
      </c>
      <c r="B14" s="19">
        <v>13000</v>
      </c>
      <c r="C14" s="246">
        <v>100</v>
      </c>
      <c r="D14" s="256">
        <f>((C12*0.5)+C13+C14+C15+(C16*0.5))/4</f>
        <v>100.825</v>
      </c>
      <c r="E14" s="261">
        <f>C14/D14</f>
        <v>0.99181750557897341</v>
      </c>
      <c r="F14" s="253">
        <f t="shared" si="0"/>
        <v>101.88084848011152</v>
      </c>
    </row>
    <row r="15" spans="1:6" ht="13.5" thickBot="1" x14ac:dyDescent="0.25">
      <c r="A15" s="240" t="s">
        <v>181</v>
      </c>
      <c r="B15" s="241">
        <v>9000</v>
      </c>
      <c r="C15" s="247">
        <v>100</v>
      </c>
      <c r="D15" s="257">
        <f t="shared" ref="D15:D27" si="1">((C13*0.5)+C14+C15+C16+(C17*0.5))/4</f>
        <v>102.44545454545455</v>
      </c>
      <c r="E15" s="269">
        <f t="shared" ref="E15:E25" si="2">C15/D15</f>
        <v>0.97612920401100356</v>
      </c>
      <c r="F15" s="253">
        <f t="shared" si="0"/>
        <v>103.27186249865117</v>
      </c>
    </row>
    <row r="16" spans="1:6" ht="13.5" thickBot="1" x14ac:dyDescent="0.25">
      <c r="A16" s="237" t="s">
        <v>182</v>
      </c>
      <c r="B16" s="242">
        <v>10660</v>
      </c>
      <c r="C16" s="248">
        <f>B16/B12*100</f>
        <v>106.60000000000001</v>
      </c>
      <c r="D16" s="258">
        <f t="shared" si="1"/>
        <v>103.72167832167833</v>
      </c>
      <c r="E16" s="271">
        <f t="shared" si="2"/>
        <v>1.0277504348646864</v>
      </c>
      <c r="F16" s="253">
        <f>C16/C31</f>
        <v>101.84834775076227</v>
      </c>
    </row>
    <row r="17" spans="1:6" ht="13.5" thickBot="1" x14ac:dyDescent="0.25">
      <c r="A17" s="239" t="s">
        <v>183</v>
      </c>
      <c r="B17" s="20">
        <v>11700</v>
      </c>
      <c r="C17" s="249">
        <f t="shared" ref="C17:C19" si="3">B17/B13*100</f>
        <v>106.36363636363637</v>
      </c>
      <c r="D17" s="256">
        <f t="shared" si="1"/>
        <v>104.61911421911424</v>
      </c>
      <c r="E17" s="264">
        <f t="shared" si="2"/>
        <v>1.0166749848490249</v>
      </c>
      <c r="F17" s="253">
        <f t="shared" ref="F17:F19" si="4">C17/C32</f>
        <v>105.99381354169941</v>
      </c>
    </row>
    <row r="18" spans="1:6" ht="13.5" thickBot="1" x14ac:dyDescent="0.25">
      <c r="A18" s="239" t="s">
        <v>184</v>
      </c>
      <c r="B18" s="20">
        <v>13500</v>
      </c>
      <c r="C18" s="250">
        <f t="shared" si="3"/>
        <v>103.84615384615385</v>
      </c>
      <c r="D18" s="256">
        <f t="shared" si="1"/>
        <v>106.08578088578091</v>
      </c>
      <c r="E18" s="261">
        <f t="shared" si="2"/>
        <v>0.9788885275582937</v>
      </c>
      <c r="F18" s="253">
        <f t="shared" si="4"/>
        <v>105.7993426524235</v>
      </c>
    </row>
    <row r="19" spans="1:6" ht="13.5" thickBot="1" x14ac:dyDescent="0.25">
      <c r="A19" s="240" t="s">
        <v>185</v>
      </c>
      <c r="B19" s="243">
        <v>9300</v>
      </c>
      <c r="C19" s="251">
        <f>B19/B15*100</f>
        <v>103.33333333333334</v>
      </c>
      <c r="D19" s="257">
        <f t="shared" si="1"/>
        <v>107.59032634032636</v>
      </c>
      <c r="E19" s="269">
        <f t="shared" si="2"/>
        <v>0.96043331076506422</v>
      </c>
      <c r="F19" s="253">
        <f t="shared" si="4"/>
        <v>106.7142579152729</v>
      </c>
    </row>
    <row r="20" spans="1:6" ht="13.5" thickBot="1" x14ac:dyDescent="0.25">
      <c r="A20" s="237" t="s">
        <v>186</v>
      </c>
      <c r="B20" s="242">
        <v>11500</v>
      </c>
      <c r="C20" s="248">
        <f>B20/B12*100</f>
        <v>114.99999999999999</v>
      </c>
      <c r="D20" s="258">
        <f t="shared" si="1"/>
        <v>108.71794871794873</v>
      </c>
      <c r="E20" s="271">
        <f t="shared" si="2"/>
        <v>1.0577830188679243</v>
      </c>
      <c r="F20" s="253">
        <f>C20/C31</f>
        <v>109.87392111949023</v>
      </c>
    </row>
    <row r="21" spans="1:6" ht="13.5" thickBot="1" x14ac:dyDescent="0.25">
      <c r="A21" s="239" t="s">
        <v>187</v>
      </c>
      <c r="B21" s="20">
        <v>12100</v>
      </c>
      <c r="C21" s="249">
        <f t="shared" ref="C21:C23" si="5">B21/B13*100</f>
        <v>110.00000000000001</v>
      </c>
      <c r="D21" s="256">
        <f t="shared" si="1"/>
        <v>110.22435897435898</v>
      </c>
      <c r="E21" s="264">
        <f t="shared" si="2"/>
        <v>0.9979645245710963</v>
      </c>
      <c r="F21" s="253">
        <f t="shared" ref="F21:F23" si="6">C21/C32</f>
        <v>109.61753366278315</v>
      </c>
    </row>
    <row r="22" spans="1:6" ht="13.5" thickBot="1" x14ac:dyDescent="0.25">
      <c r="A22" s="239" t="s">
        <v>188</v>
      </c>
      <c r="B22" s="20">
        <v>14200</v>
      </c>
      <c r="C22" s="250">
        <f t="shared" si="5"/>
        <v>109.23076923076923</v>
      </c>
      <c r="D22" s="256">
        <f t="shared" si="1"/>
        <v>111.80769230769231</v>
      </c>
      <c r="E22" s="261">
        <f t="shared" si="2"/>
        <v>0.97695218438252496</v>
      </c>
      <c r="F22" s="253">
        <f t="shared" si="6"/>
        <v>111.28523449366027</v>
      </c>
    </row>
    <row r="23" spans="1:6" ht="13.5" thickBot="1" x14ac:dyDescent="0.25">
      <c r="A23" s="240" t="s">
        <v>189</v>
      </c>
      <c r="B23" s="243">
        <v>9900</v>
      </c>
      <c r="C23" s="251">
        <f t="shared" si="5"/>
        <v>110.00000000000001</v>
      </c>
      <c r="D23" s="257">
        <f t="shared" si="1"/>
        <v>113.23951048951049</v>
      </c>
      <c r="E23" s="269">
        <f t="shared" si="2"/>
        <v>0.9713924011548023</v>
      </c>
      <c r="F23" s="253">
        <f t="shared" si="6"/>
        <v>113.59904874851631</v>
      </c>
    </row>
    <row r="24" spans="1:6" ht="13.5" thickBot="1" x14ac:dyDescent="0.25">
      <c r="A24" s="237" t="s">
        <v>190</v>
      </c>
      <c r="B24" s="242">
        <v>12100</v>
      </c>
      <c r="C24" s="248">
        <f>B24/B12*100</f>
        <v>121</v>
      </c>
      <c r="D24" s="258">
        <f t="shared" si="1"/>
        <v>114.40209790209791</v>
      </c>
      <c r="E24" s="271">
        <f t="shared" si="2"/>
        <v>1.0576729117638068</v>
      </c>
      <c r="F24" s="253">
        <f>C24/C31</f>
        <v>115.60647352572451</v>
      </c>
    </row>
    <row r="25" spans="1:6" ht="13.5" thickBot="1" x14ac:dyDescent="0.25">
      <c r="A25" s="239" t="s">
        <v>191</v>
      </c>
      <c r="B25" s="20">
        <v>12700</v>
      </c>
      <c r="C25" s="249">
        <f t="shared" ref="C25:C27" si="7">B25/B13*100</f>
        <v>115.45454545454545</v>
      </c>
      <c r="D25" s="256">
        <f>((C23*0.5)+C24+C25+C26+(C27*0.5))/4</f>
        <v>115.57731157731158</v>
      </c>
      <c r="E25" s="264">
        <f t="shared" si="2"/>
        <v>0.99893780084438111</v>
      </c>
      <c r="F25" s="253">
        <f t="shared" ref="F25:F27" si="8">C25/C32</f>
        <v>115.05311384440874</v>
      </c>
    </row>
    <row r="26" spans="1:6" ht="13.5" thickBot="1" x14ac:dyDescent="0.25">
      <c r="A26" s="239" t="s">
        <v>192</v>
      </c>
      <c r="B26" s="20">
        <v>14700</v>
      </c>
      <c r="C26" s="250">
        <f t="shared" si="7"/>
        <v>113.07692307692308</v>
      </c>
      <c r="D26" s="259"/>
      <c r="E26" s="255"/>
      <c r="F26" s="253">
        <f t="shared" si="8"/>
        <v>115.20372866597226</v>
      </c>
    </row>
    <row r="27" spans="1:6" ht="13.5" thickBot="1" x14ac:dyDescent="0.25">
      <c r="A27" s="240" t="s">
        <v>193</v>
      </c>
      <c r="B27" s="243">
        <v>10400</v>
      </c>
      <c r="C27" s="251">
        <f t="shared" si="7"/>
        <v>115.55555555555554</v>
      </c>
      <c r="D27" s="260"/>
      <c r="E27" s="272"/>
      <c r="F27" s="253">
        <f t="shared" si="8"/>
        <v>119.33637444288578</v>
      </c>
    </row>
    <row r="29" spans="1:6" x14ac:dyDescent="0.2">
      <c r="A29" s="273" t="s">
        <v>292</v>
      </c>
      <c r="B29" s="273"/>
      <c r="C29" s="273"/>
    </row>
    <row r="30" spans="1:6" x14ac:dyDescent="0.2">
      <c r="A30" s="274"/>
      <c r="B30" s="274" t="s">
        <v>297</v>
      </c>
      <c r="C30" s="274" t="s">
        <v>299</v>
      </c>
    </row>
    <row r="31" spans="1:6" x14ac:dyDescent="0.2">
      <c r="A31" s="274" t="s">
        <v>293</v>
      </c>
      <c r="B31" s="275">
        <f>(E16+E20+E24)/3</f>
        <v>1.0477354551654725</v>
      </c>
      <c r="C31" s="252">
        <f>B31/$B$35*$C$35</f>
        <v>1.0466541908059788</v>
      </c>
    </row>
    <row r="32" spans="1:6" x14ac:dyDescent="0.2">
      <c r="A32" s="274" t="s">
        <v>294</v>
      </c>
      <c r="B32" s="276">
        <f>(E17+E21+E25)/3</f>
        <v>1.0045257700881673</v>
      </c>
      <c r="C32" s="252">
        <f t="shared" ref="C32:C34" si="9">B32/$B$35*$C$35</f>
        <v>1.0034890981801639</v>
      </c>
    </row>
    <row r="33" spans="1:6" x14ac:dyDescent="0.2">
      <c r="A33" s="274" t="s">
        <v>295</v>
      </c>
      <c r="B33" s="262">
        <f>(E14+E18+E22)/3</f>
        <v>0.98255273917326402</v>
      </c>
      <c r="C33" s="252">
        <f t="shared" si="9"/>
        <v>0.98153874346189129</v>
      </c>
    </row>
    <row r="34" spans="1:6" x14ac:dyDescent="0.2">
      <c r="A34" s="274" t="s">
        <v>296</v>
      </c>
      <c r="B34" s="263">
        <f>(E15+E19+E23)/3</f>
        <v>0.96931830531028995</v>
      </c>
      <c r="C34" s="252">
        <f t="shared" si="9"/>
        <v>0.96831796755196597</v>
      </c>
    </row>
    <row r="35" spans="1:6" x14ac:dyDescent="0.2">
      <c r="A35" s="274" t="s">
        <v>298</v>
      </c>
      <c r="B35" s="252">
        <f>SUM(B31:B34)</f>
        <v>4.0041322697371937</v>
      </c>
      <c r="C35" s="252">
        <v>4</v>
      </c>
    </row>
    <row r="37" spans="1:6" x14ac:dyDescent="0.2">
      <c r="A37" s="277"/>
      <c r="B37" s="277"/>
      <c r="C37" s="277"/>
      <c r="D37" s="277"/>
      <c r="E37" s="277"/>
      <c r="F37" s="277"/>
    </row>
    <row r="38" spans="1:6" x14ac:dyDescent="0.2">
      <c r="A38" s="277"/>
      <c r="B38" s="277"/>
      <c r="C38" s="277"/>
      <c r="D38" s="277"/>
      <c r="E38" s="277"/>
      <c r="F38" s="277"/>
    </row>
    <row r="39" spans="1:6" x14ac:dyDescent="0.2">
      <c r="A39" s="277"/>
      <c r="B39" s="277"/>
      <c r="C39" s="277"/>
      <c r="D39" s="277"/>
      <c r="E39" s="277"/>
      <c r="F39" s="277"/>
    </row>
    <row r="40" spans="1:6" x14ac:dyDescent="0.2">
      <c r="A40" s="277"/>
      <c r="B40" s="277"/>
      <c r="C40" s="277"/>
      <c r="D40" s="277"/>
      <c r="E40" s="277"/>
      <c r="F40" s="277"/>
    </row>
    <row r="41" spans="1:6" x14ac:dyDescent="0.2">
      <c r="A41" s="277"/>
      <c r="B41" s="277"/>
      <c r="C41" s="277"/>
      <c r="D41" s="277"/>
      <c r="E41" s="277"/>
      <c r="F41" s="277"/>
    </row>
  </sheetData>
  <mergeCells count="3">
    <mergeCell ref="A3:E3"/>
    <mergeCell ref="A29:C29"/>
    <mergeCell ref="A37:F41"/>
  </mergeCells>
  <phoneticPr fontId="6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7" zoomScale="110" zoomScaleNormal="110" workbookViewId="0">
      <selection activeCell="E77" sqref="E77"/>
    </sheetView>
  </sheetViews>
  <sheetFormatPr defaultRowHeight="12.75" x14ac:dyDescent="0.2"/>
  <cols>
    <col min="1" max="1" width="23.7109375" customWidth="1"/>
    <col min="2" max="2" width="15" customWidth="1"/>
    <col min="3" max="3" width="17.7109375" customWidth="1"/>
    <col min="4" max="4" width="12.140625" customWidth="1"/>
    <col min="5" max="5" width="13.7109375" customWidth="1"/>
    <col min="6" max="6" width="3.85546875" customWidth="1"/>
    <col min="7" max="7" width="12.140625" customWidth="1"/>
  </cols>
  <sheetData>
    <row r="1" spans="1:8" ht="23.25" thickBot="1" x14ac:dyDescent="0.5">
      <c r="A1" s="14" t="s">
        <v>202</v>
      </c>
    </row>
    <row r="2" spans="1:8" ht="26.25" thickBot="1" x14ac:dyDescent="0.25">
      <c r="A2" s="47"/>
      <c r="B2" s="48" t="s">
        <v>203</v>
      </c>
    </row>
    <row r="3" spans="1:8" x14ac:dyDescent="0.2">
      <c r="A3" s="49" t="s">
        <v>204</v>
      </c>
      <c r="B3" s="50">
        <v>12000</v>
      </c>
    </row>
    <row r="4" spans="1:8" ht="13.5" thickBot="1" x14ac:dyDescent="0.25">
      <c r="A4" s="51" t="s">
        <v>205</v>
      </c>
      <c r="B4" s="50">
        <v>8250</v>
      </c>
    </row>
    <row r="5" spans="1:8" x14ac:dyDescent="0.2">
      <c r="A5" s="47" t="s">
        <v>206</v>
      </c>
      <c r="B5" s="52">
        <f>SUM(B3-B4)</f>
        <v>3750</v>
      </c>
    </row>
    <row r="6" spans="1:8" ht="13.5" thickBot="1" x14ac:dyDescent="0.25">
      <c r="A6" s="51" t="s">
        <v>207</v>
      </c>
      <c r="B6" s="53">
        <v>150</v>
      </c>
      <c r="H6" s="54"/>
    </row>
    <row r="7" spans="1:8" x14ac:dyDescent="0.2">
      <c r="A7" s="49" t="s">
        <v>208</v>
      </c>
      <c r="B7" s="52">
        <f>SUM(B5-B6)</f>
        <v>3600</v>
      </c>
      <c r="H7" s="54"/>
    </row>
    <row r="8" spans="1:8" ht="13.5" thickBot="1" x14ac:dyDescent="0.25">
      <c r="A8" s="55" t="s">
        <v>209</v>
      </c>
      <c r="B8" s="56">
        <v>2800</v>
      </c>
    </row>
    <row r="9" spans="1:8" x14ac:dyDescent="0.2">
      <c r="A9" s="49" t="s">
        <v>210</v>
      </c>
      <c r="B9" s="52">
        <f>SUM(B7-B8)</f>
        <v>800</v>
      </c>
    </row>
    <row r="10" spans="1:8" ht="13.5" thickBot="1" x14ac:dyDescent="0.25">
      <c r="A10" s="55" t="s">
        <v>211</v>
      </c>
      <c r="B10" s="56">
        <v>250</v>
      </c>
    </row>
    <row r="11" spans="1:8" x14ac:dyDescent="0.2">
      <c r="A11" s="49" t="s">
        <v>212</v>
      </c>
      <c r="B11" s="52">
        <f>SUM(B9-B10)</f>
        <v>550</v>
      </c>
    </row>
    <row r="12" spans="1:8" ht="13.5" thickBot="1" x14ac:dyDescent="0.25">
      <c r="A12" s="55" t="s">
        <v>213</v>
      </c>
      <c r="B12" s="57">
        <v>150</v>
      </c>
    </row>
    <row r="13" spans="1:8" x14ac:dyDescent="0.2">
      <c r="A13" s="49" t="s">
        <v>214</v>
      </c>
      <c r="B13" s="52">
        <f>SUM(B11-B12)</f>
        <v>400</v>
      </c>
    </row>
    <row r="14" spans="1:8" ht="13.5" thickBot="1" x14ac:dyDescent="0.25">
      <c r="A14" s="55" t="s">
        <v>215</v>
      </c>
      <c r="B14" s="58">
        <f>SUM(B13*C14)</f>
        <v>100</v>
      </c>
      <c r="C14" s="59">
        <v>0.25</v>
      </c>
    </row>
    <row r="15" spans="1:8" ht="13.5" thickBot="1" x14ac:dyDescent="0.25">
      <c r="A15" s="60" t="s">
        <v>216</v>
      </c>
      <c r="B15" s="61">
        <f>SUM(B13-B14)</f>
        <v>300</v>
      </c>
    </row>
    <row r="16" spans="1:8" ht="15" customHeight="1" thickBot="1" x14ac:dyDescent="0.25"/>
    <row r="17" spans="1:7" ht="16.5" thickBot="1" x14ac:dyDescent="0.3">
      <c r="A17" s="190" t="s">
        <v>217</v>
      </c>
      <c r="B17" s="191"/>
      <c r="C17" s="191"/>
      <c r="D17" s="191"/>
      <c r="E17" s="192"/>
      <c r="F17" s="62"/>
      <c r="G17" s="62"/>
    </row>
    <row r="18" spans="1:7" ht="15.75" thickBot="1" x14ac:dyDescent="0.3">
      <c r="A18" s="193" t="s">
        <v>218</v>
      </c>
      <c r="B18" s="194"/>
      <c r="C18" s="193" t="s">
        <v>219</v>
      </c>
      <c r="D18" s="195"/>
      <c r="E18" s="194"/>
      <c r="F18" s="62"/>
      <c r="G18" s="62"/>
    </row>
    <row r="19" spans="1:7" ht="15" x14ac:dyDescent="0.25">
      <c r="A19" s="196" t="s">
        <v>220</v>
      </c>
      <c r="B19" s="197"/>
      <c r="C19" s="196" t="s">
        <v>221</v>
      </c>
      <c r="D19" s="198"/>
      <c r="E19" s="63"/>
      <c r="F19" s="62"/>
      <c r="G19" s="62"/>
    </row>
    <row r="20" spans="1:7" ht="15" x14ac:dyDescent="0.25">
      <c r="A20" s="64" t="s">
        <v>220</v>
      </c>
      <c r="B20" s="65">
        <v>2000</v>
      </c>
      <c r="C20" s="180" t="s">
        <v>278</v>
      </c>
      <c r="D20" s="181"/>
      <c r="E20" s="66">
        <v>1000</v>
      </c>
      <c r="F20" s="62"/>
      <c r="G20" s="62"/>
    </row>
    <row r="21" spans="1:7" ht="14.25" customHeight="1" x14ac:dyDescent="0.25">
      <c r="A21" s="182"/>
      <c r="B21" s="183"/>
      <c r="C21" s="184" t="s">
        <v>222</v>
      </c>
      <c r="D21" s="185"/>
      <c r="E21" s="66">
        <v>440</v>
      </c>
      <c r="F21" s="62"/>
      <c r="G21" s="62"/>
    </row>
    <row r="22" spans="1:7" ht="15.75" thickBot="1" x14ac:dyDescent="0.3">
      <c r="A22" s="186" t="s">
        <v>223</v>
      </c>
      <c r="B22" s="187"/>
      <c r="C22" s="188" t="s">
        <v>224</v>
      </c>
      <c r="D22" s="189"/>
      <c r="E22" s="67">
        <v>150</v>
      </c>
      <c r="F22" s="62"/>
      <c r="G22" s="62"/>
    </row>
    <row r="23" spans="1:7" ht="15.75" thickBot="1" x14ac:dyDescent="0.3">
      <c r="A23" s="64" t="s">
        <v>225</v>
      </c>
      <c r="B23" s="65">
        <v>1200</v>
      </c>
      <c r="C23" s="175" t="s">
        <v>279</v>
      </c>
      <c r="D23" s="176"/>
      <c r="E23" s="68">
        <f>SUM(E20:E22)</f>
        <v>1590</v>
      </c>
      <c r="F23" s="62"/>
      <c r="G23" s="62"/>
    </row>
    <row r="24" spans="1:7" ht="12.75" customHeight="1" x14ac:dyDescent="0.25">
      <c r="A24" s="64" t="s">
        <v>226</v>
      </c>
      <c r="B24" s="65">
        <v>1600</v>
      </c>
      <c r="C24" s="177"/>
      <c r="D24" s="178"/>
      <c r="E24" s="179"/>
      <c r="F24" s="62"/>
      <c r="G24" s="62"/>
    </row>
    <row r="25" spans="1:7" ht="15" x14ac:dyDescent="0.25">
      <c r="A25" s="64" t="s">
        <v>227</v>
      </c>
      <c r="B25" s="65">
        <v>100</v>
      </c>
      <c r="C25" s="199" t="s">
        <v>228</v>
      </c>
      <c r="D25" s="200"/>
      <c r="E25" s="201"/>
      <c r="F25" s="62"/>
      <c r="G25" s="62"/>
    </row>
    <row r="26" spans="1:7" ht="15" x14ac:dyDescent="0.25">
      <c r="A26" s="182"/>
      <c r="B26" s="183"/>
      <c r="C26" s="69" t="s">
        <v>229</v>
      </c>
      <c r="D26" s="70" t="s">
        <v>230</v>
      </c>
      <c r="E26" s="65">
        <v>500</v>
      </c>
      <c r="F26" s="62"/>
      <c r="G26" s="62"/>
    </row>
    <row r="27" spans="1:7" ht="13.5" customHeight="1" x14ac:dyDescent="0.25">
      <c r="A27" s="202"/>
      <c r="B27" s="203"/>
      <c r="C27" s="180" t="s">
        <v>231</v>
      </c>
      <c r="D27" s="181"/>
      <c r="E27" s="65">
        <v>1700</v>
      </c>
      <c r="F27" s="62"/>
      <c r="G27" s="62"/>
    </row>
    <row r="28" spans="1:7" ht="15" x14ac:dyDescent="0.25">
      <c r="A28" s="71"/>
      <c r="B28" s="72"/>
      <c r="C28" s="204" t="s">
        <v>232</v>
      </c>
      <c r="D28" s="181"/>
      <c r="E28" s="65">
        <v>210</v>
      </c>
      <c r="F28" s="62"/>
      <c r="G28" s="62"/>
    </row>
    <row r="29" spans="1:7" ht="15" x14ac:dyDescent="0.25">
      <c r="A29" s="205"/>
      <c r="B29" s="206"/>
      <c r="C29" s="180" t="s">
        <v>233</v>
      </c>
      <c r="D29" s="181"/>
      <c r="E29" s="65">
        <v>900</v>
      </c>
      <c r="F29" s="62"/>
      <c r="G29" s="62"/>
    </row>
    <row r="30" spans="1:7" ht="12.75" customHeight="1" thickBot="1" x14ac:dyDescent="0.3">
      <c r="A30" s="207"/>
      <c r="B30" s="208"/>
      <c r="C30" s="207"/>
      <c r="D30" s="209"/>
      <c r="E30" s="208"/>
      <c r="F30" s="62"/>
      <c r="G30" s="62"/>
    </row>
    <row r="31" spans="1:7" ht="15.75" thickBot="1" x14ac:dyDescent="0.3">
      <c r="A31" s="73" t="s">
        <v>234</v>
      </c>
      <c r="B31" s="74">
        <f>SUM(B20:B29)</f>
        <v>4900</v>
      </c>
      <c r="C31" s="210" t="s">
        <v>235</v>
      </c>
      <c r="D31" s="211"/>
      <c r="E31" s="75">
        <f>SUM(E23:E30)</f>
        <v>4900</v>
      </c>
      <c r="F31" s="62"/>
      <c r="G31" s="62"/>
    </row>
    <row r="32" spans="1:7" x14ac:dyDescent="0.2">
      <c r="C32" s="2"/>
    </row>
    <row r="33" spans="1:7" ht="15" x14ac:dyDescent="0.25">
      <c r="A33" s="76" t="s">
        <v>236</v>
      </c>
      <c r="C33" s="2"/>
    </row>
    <row r="34" spans="1:7" s="77" customFormat="1" x14ac:dyDescent="0.2">
      <c r="D34" s="2" t="s">
        <v>267</v>
      </c>
      <c r="E34"/>
      <c r="F34"/>
      <c r="G34"/>
    </row>
    <row r="35" spans="1:7" s="77" customFormat="1" x14ac:dyDescent="0.2">
      <c r="A35" s="78" t="s">
        <v>237</v>
      </c>
      <c r="B35" s="77" t="s">
        <v>238</v>
      </c>
      <c r="C35" s="79">
        <v>6</v>
      </c>
      <c r="D35" s="80">
        <f>B4/C35</f>
        <v>1375</v>
      </c>
      <c r="E35" s="81"/>
    </row>
    <row r="36" spans="1:7" s="77" customFormat="1" x14ac:dyDescent="0.2">
      <c r="A36" s="82"/>
      <c r="B36" s="77" t="s">
        <v>166</v>
      </c>
      <c r="C36" s="79">
        <v>8</v>
      </c>
      <c r="D36" s="80">
        <f>B3/C36</f>
        <v>1500</v>
      </c>
      <c r="E36" s="81"/>
    </row>
    <row r="37" spans="1:7" s="77" customFormat="1" x14ac:dyDescent="0.2">
      <c r="A37" s="82"/>
      <c r="C37" s="79"/>
      <c r="D37" s="79"/>
      <c r="E37" s="81"/>
    </row>
    <row r="38" spans="1:7" s="77" customFormat="1" x14ac:dyDescent="0.2">
      <c r="A38" s="83" t="s">
        <v>239</v>
      </c>
      <c r="B38" s="83"/>
      <c r="C38" s="84"/>
      <c r="D38" s="84"/>
      <c r="E38" s="85">
        <f>B4+D35-B23</f>
        <v>8425</v>
      </c>
    </row>
    <row r="39" spans="1:7" x14ac:dyDescent="0.2">
      <c r="A39" s="82"/>
      <c r="B39" s="77" t="s">
        <v>240</v>
      </c>
      <c r="C39" s="79">
        <v>5</v>
      </c>
      <c r="D39" s="80">
        <f>E38/C39</f>
        <v>1685</v>
      </c>
      <c r="E39" s="81"/>
      <c r="F39" s="77"/>
      <c r="G39" s="77"/>
    </row>
    <row r="40" spans="1:7" ht="15.75" thickBot="1" x14ac:dyDescent="0.3">
      <c r="A40" s="76" t="s">
        <v>241</v>
      </c>
      <c r="F40" s="83"/>
      <c r="G40" s="86"/>
    </row>
    <row r="41" spans="1:7" ht="13.5" thickBot="1" x14ac:dyDescent="0.25">
      <c r="A41" s="212" t="s">
        <v>242</v>
      </c>
      <c r="B41" s="213"/>
      <c r="C41" s="213"/>
      <c r="D41" s="214"/>
    </row>
    <row r="42" spans="1:7" x14ac:dyDescent="0.2">
      <c r="A42" s="215" t="s">
        <v>243</v>
      </c>
      <c r="B42" s="216"/>
      <c r="C42" s="216"/>
      <c r="D42" s="87">
        <f>B9</f>
        <v>800</v>
      </c>
    </row>
    <row r="43" spans="1:7" x14ac:dyDescent="0.2">
      <c r="A43" s="88"/>
      <c r="B43" s="89"/>
      <c r="C43" s="89"/>
      <c r="D43" s="90"/>
    </row>
    <row r="44" spans="1:7" x14ac:dyDescent="0.2">
      <c r="A44" s="91" t="s">
        <v>244</v>
      </c>
      <c r="B44" s="92" t="s">
        <v>245</v>
      </c>
      <c r="C44" s="92" t="s">
        <v>246</v>
      </c>
      <c r="D44" s="93"/>
    </row>
    <row r="45" spans="1:7" x14ac:dyDescent="0.2">
      <c r="A45" s="94" t="s">
        <v>225</v>
      </c>
      <c r="B45" s="156">
        <f>B23</f>
        <v>1200</v>
      </c>
      <c r="C45" s="95">
        <f>D35</f>
        <v>1375</v>
      </c>
      <c r="D45" s="96">
        <f>B45-C45</f>
        <v>-175</v>
      </c>
    </row>
    <row r="46" spans="1:7" x14ac:dyDescent="0.2">
      <c r="A46" s="94" t="s">
        <v>247</v>
      </c>
      <c r="B46" s="156">
        <f>B24</f>
        <v>1600</v>
      </c>
      <c r="C46" s="95">
        <f>D36</f>
        <v>1500</v>
      </c>
      <c r="D46" s="96">
        <f>B46-C46</f>
        <v>100</v>
      </c>
    </row>
    <row r="47" spans="1:7" x14ac:dyDescent="0.2">
      <c r="A47" s="94" t="s">
        <v>231</v>
      </c>
      <c r="B47" s="156">
        <f>E27</f>
        <v>1700</v>
      </c>
      <c r="C47" s="95">
        <f>D39</f>
        <v>1685</v>
      </c>
      <c r="D47" s="96">
        <f>C47-B47</f>
        <v>-15</v>
      </c>
    </row>
    <row r="48" spans="1:7" x14ac:dyDescent="0.2">
      <c r="A48" s="94" t="s">
        <v>233</v>
      </c>
      <c r="B48" s="156">
        <f>E29</f>
        <v>900</v>
      </c>
      <c r="C48" s="95">
        <f>B48*1.1</f>
        <v>990.00000000000011</v>
      </c>
      <c r="D48" s="96">
        <f>C48-B48</f>
        <v>90.000000000000114</v>
      </c>
      <c r="E48" s="97"/>
    </row>
    <row r="49" spans="1:5" x14ac:dyDescent="0.2">
      <c r="A49" s="217" t="s">
        <v>248</v>
      </c>
      <c r="B49" s="218"/>
      <c r="C49" s="218"/>
      <c r="D49" s="96">
        <f>B12*-1</f>
        <v>-150</v>
      </c>
    </row>
    <row r="50" spans="1:5" ht="13.5" thickBot="1" x14ac:dyDescent="0.25">
      <c r="A50" s="219" t="s">
        <v>215</v>
      </c>
      <c r="B50" s="220"/>
      <c r="C50" s="220"/>
      <c r="D50" s="98">
        <f>B14*-1</f>
        <v>-100</v>
      </c>
    </row>
    <row r="51" spans="1:5" x14ac:dyDescent="0.2">
      <c r="A51" s="221" t="s">
        <v>249</v>
      </c>
      <c r="B51" s="222"/>
      <c r="C51" s="223"/>
      <c r="D51" s="99">
        <f>SUM(D42:D50)</f>
        <v>550.00000000000011</v>
      </c>
    </row>
    <row r="52" spans="1:5" x14ac:dyDescent="0.2">
      <c r="A52" s="88"/>
      <c r="B52" s="89"/>
      <c r="C52" s="89"/>
      <c r="D52" s="90"/>
    </row>
    <row r="53" spans="1:5" x14ac:dyDescent="0.2">
      <c r="A53" s="217" t="s">
        <v>250</v>
      </c>
      <c r="B53" s="218"/>
      <c r="C53" s="218"/>
      <c r="D53" s="100">
        <f>-B68</f>
        <v>-600</v>
      </c>
    </row>
    <row r="54" spans="1:5" x14ac:dyDescent="0.2">
      <c r="A54" s="88"/>
      <c r="B54" s="89"/>
      <c r="C54" s="101"/>
      <c r="D54" s="102"/>
    </row>
    <row r="55" spans="1:5" x14ac:dyDescent="0.2">
      <c r="A55" s="103" t="s">
        <v>251</v>
      </c>
      <c r="B55" s="104"/>
      <c r="C55" s="104"/>
      <c r="D55" s="100">
        <v>0</v>
      </c>
    </row>
    <row r="56" spans="1:5" x14ac:dyDescent="0.2">
      <c r="A56" s="224"/>
      <c r="B56" s="225"/>
      <c r="C56" s="226"/>
      <c r="D56" s="100"/>
    </row>
    <row r="57" spans="1:5" x14ac:dyDescent="0.2">
      <c r="A57" s="105" t="s">
        <v>252</v>
      </c>
      <c r="B57" s="106"/>
      <c r="C57" s="106"/>
      <c r="D57" s="100">
        <v>0</v>
      </c>
    </row>
    <row r="58" spans="1:5" x14ac:dyDescent="0.2">
      <c r="A58" s="224" t="s">
        <v>253</v>
      </c>
      <c r="B58" s="225"/>
      <c r="C58" s="226"/>
      <c r="D58" s="107">
        <f>E28*-1</f>
        <v>-210</v>
      </c>
    </row>
    <row r="59" spans="1:5" ht="13.5" thickBot="1" x14ac:dyDescent="0.25">
      <c r="A59" s="108"/>
      <c r="B59" s="109"/>
      <c r="C59" s="109"/>
      <c r="D59" s="110"/>
    </row>
    <row r="60" spans="1:5" x14ac:dyDescent="0.2">
      <c r="A60" s="215" t="s">
        <v>254</v>
      </c>
      <c r="B60" s="216"/>
      <c r="C60" s="216"/>
      <c r="D60" s="111">
        <f>SUM(D51:D59)</f>
        <v>-259.99999999999989</v>
      </c>
    </row>
    <row r="61" spans="1:5" x14ac:dyDescent="0.2">
      <c r="A61" s="227" t="s">
        <v>255</v>
      </c>
      <c r="B61" s="228"/>
      <c r="C61" s="228"/>
      <c r="D61" s="100">
        <f>B25</f>
        <v>100</v>
      </c>
    </row>
    <row r="62" spans="1:5" ht="13.5" thickBot="1" x14ac:dyDescent="0.25">
      <c r="A62" s="229" t="s">
        <v>268</v>
      </c>
      <c r="B62" s="230"/>
      <c r="C62" s="230"/>
      <c r="D62" s="112">
        <f>D67-E26</f>
        <v>500</v>
      </c>
      <c r="E62" s="113"/>
    </row>
    <row r="63" spans="1:5" ht="13.5" thickBot="1" x14ac:dyDescent="0.25">
      <c r="A63" s="231" t="s">
        <v>256</v>
      </c>
      <c r="B63" s="232"/>
      <c r="C63" s="232"/>
      <c r="D63" s="114">
        <f>SUM(D60:D62)</f>
        <v>340.00000000000011</v>
      </c>
    </row>
    <row r="64" spans="1:5" x14ac:dyDescent="0.2">
      <c r="A64" s="115"/>
      <c r="B64" s="115"/>
      <c r="C64" s="115"/>
      <c r="D64" s="116"/>
    </row>
    <row r="65" spans="1:6" ht="15" x14ac:dyDescent="0.25">
      <c r="A65" s="76" t="s">
        <v>257</v>
      </c>
    </row>
    <row r="66" spans="1:6" ht="13.5" thickBot="1" x14ac:dyDescent="0.25">
      <c r="A66" s="117" t="s">
        <v>258</v>
      </c>
      <c r="B66" s="118" t="s">
        <v>259</v>
      </c>
      <c r="C66" s="119"/>
      <c r="D66" s="120" t="s">
        <v>229</v>
      </c>
    </row>
    <row r="67" spans="1:6" x14ac:dyDescent="0.2">
      <c r="A67" s="121" t="s">
        <v>245</v>
      </c>
      <c r="B67" s="122">
        <f>B20</f>
        <v>2000</v>
      </c>
      <c r="C67" s="123" t="s">
        <v>260</v>
      </c>
      <c r="D67" s="124">
        <v>1000</v>
      </c>
    </row>
    <row r="68" spans="1:6" x14ac:dyDescent="0.2">
      <c r="A68" s="125" t="s">
        <v>261</v>
      </c>
      <c r="B68" s="122">
        <v>600</v>
      </c>
      <c r="C68" s="126" t="s">
        <v>262</v>
      </c>
      <c r="D68" s="127">
        <f>D63</f>
        <v>340.00000000000011</v>
      </c>
    </row>
    <row r="69" spans="1:6" ht="13.5" thickBot="1" x14ac:dyDescent="0.25">
      <c r="A69" s="128" t="s">
        <v>263</v>
      </c>
      <c r="B69" s="129">
        <f>B10</f>
        <v>250</v>
      </c>
      <c r="C69" s="130" t="s">
        <v>264</v>
      </c>
      <c r="D69" s="127">
        <v>100</v>
      </c>
    </row>
    <row r="70" spans="1:6" ht="13.5" thickBot="1" x14ac:dyDescent="0.25">
      <c r="A70" s="131" t="s">
        <v>246</v>
      </c>
      <c r="B70" s="132">
        <f>B67+B68-B69</f>
        <v>2350</v>
      </c>
      <c r="C70" s="133" t="s">
        <v>265</v>
      </c>
      <c r="D70" s="134">
        <f>D67-D68+D69</f>
        <v>759.99999999999989</v>
      </c>
    </row>
    <row r="71" spans="1:6" ht="13.5" thickBot="1" x14ac:dyDescent="0.25">
      <c r="D71" s="33"/>
    </row>
    <row r="72" spans="1:6" ht="16.5" thickBot="1" x14ac:dyDescent="0.3">
      <c r="A72" s="190" t="s">
        <v>266</v>
      </c>
      <c r="B72" s="191"/>
      <c r="C72" s="191"/>
      <c r="D72" s="191"/>
      <c r="E72" s="192"/>
    </row>
    <row r="73" spans="1:6" ht="13.5" thickBot="1" x14ac:dyDescent="0.25">
      <c r="A73" s="193" t="s">
        <v>218</v>
      </c>
      <c r="B73" s="194"/>
      <c r="C73" s="135" t="s">
        <v>219</v>
      </c>
      <c r="D73" s="136"/>
      <c r="E73" s="137"/>
    </row>
    <row r="74" spans="1:6" x14ac:dyDescent="0.2">
      <c r="A74" s="196" t="s">
        <v>220</v>
      </c>
      <c r="B74" s="197"/>
      <c r="C74" s="138" t="s">
        <v>221</v>
      </c>
      <c r="D74" s="139"/>
      <c r="E74" s="63"/>
    </row>
    <row r="75" spans="1:6" x14ac:dyDescent="0.2">
      <c r="A75" s="94" t="s">
        <v>220</v>
      </c>
      <c r="B75" s="140">
        <f>B70</f>
        <v>2350</v>
      </c>
      <c r="C75" s="180" t="s">
        <v>278</v>
      </c>
      <c r="D75" s="181"/>
      <c r="E75" s="143">
        <f>E20</f>
        <v>1000</v>
      </c>
    </row>
    <row r="76" spans="1:6" x14ac:dyDescent="0.2">
      <c r="A76" s="205"/>
      <c r="B76" s="206"/>
      <c r="C76" s="184" t="s">
        <v>222</v>
      </c>
      <c r="D76" s="185"/>
      <c r="E76" s="143">
        <f>E21+E22</f>
        <v>590</v>
      </c>
    </row>
    <row r="77" spans="1:6" ht="13.5" thickBot="1" x14ac:dyDescent="0.25">
      <c r="A77" s="199" t="s">
        <v>223</v>
      </c>
      <c r="B77" s="201"/>
      <c r="C77" s="188" t="s">
        <v>224</v>
      </c>
      <c r="D77" s="189"/>
      <c r="E77" s="144">
        <f>B15-E83</f>
        <v>180</v>
      </c>
      <c r="F77" s="54"/>
    </row>
    <row r="78" spans="1:6" ht="13.5" thickBot="1" x14ac:dyDescent="0.25">
      <c r="A78" s="94" t="s">
        <v>225</v>
      </c>
      <c r="B78" s="140">
        <f>C45</f>
        <v>1375</v>
      </c>
      <c r="C78" s="175" t="s">
        <v>279</v>
      </c>
      <c r="D78" s="176"/>
      <c r="E78" s="68">
        <f>SUM(E75:E77)</f>
        <v>1770</v>
      </c>
      <c r="F78" s="54"/>
    </row>
    <row r="79" spans="1:6" x14ac:dyDescent="0.2">
      <c r="A79" s="94" t="s">
        <v>226</v>
      </c>
      <c r="B79" s="140">
        <f>C46</f>
        <v>1500</v>
      </c>
      <c r="C79" s="145"/>
      <c r="D79" s="146"/>
      <c r="E79" s="147"/>
    </row>
    <row r="80" spans="1:6" x14ac:dyDescent="0.2">
      <c r="A80" s="94" t="s">
        <v>227</v>
      </c>
      <c r="B80" s="140">
        <f>D69</f>
        <v>100</v>
      </c>
      <c r="C80" s="148" t="s">
        <v>228</v>
      </c>
      <c r="D80" s="70"/>
      <c r="E80" s="149"/>
    </row>
    <row r="81" spans="1:7" x14ac:dyDescent="0.2">
      <c r="A81" s="205"/>
      <c r="B81" s="206"/>
      <c r="C81" s="69" t="s">
        <v>229</v>
      </c>
      <c r="D81" s="70" t="s">
        <v>230</v>
      </c>
      <c r="E81" s="140">
        <f>D70</f>
        <v>759.99999999999989</v>
      </c>
    </row>
    <row r="82" spans="1:7" x14ac:dyDescent="0.2">
      <c r="A82" s="233"/>
      <c r="B82" s="234"/>
      <c r="C82" s="141" t="s">
        <v>231</v>
      </c>
      <c r="D82" s="142"/>
      <c r="E82" s="140">
        <f>C47</f>
        <v>1685</v>
      </c>
    </row>
    <row r="83" spans="1:7" x14ac:dyDescent="0.2">
      <c r="A83" s="205"/>
      <c r="B83" s="206"/>
      <c r="C83" s="69" t="s">
        <v>232</v>
      </c>
      <c r="D83" s="171">
        <v>0.12</v>
      </c>
      <c r="E83" s="65">
        <f>E75*D83</f>
        <v>120</v>
      </c>
    </row>
    <row r="84" spans="1:7" x14ac:dyDescent="0.2">
      <c r="A84" s="205"/>
      <c r="B84" s="206"/>
      <c r="C84" s="141" t="s">
        <v>233</v>
      </c>
      <c r="D84" s="142"/>
      <c r="E84" s="140">
        <f>C48</f>
        <v>990.00000000000011</v>
      </c>
    </row>
    <row r="85" spans="1:7" ht="13.5" thickBot="1" x14ac:dyDescent="0.25">
      <c r="A85" s="207"/>
      <c r="B85" s="208"/>
      <c r="C85" s="150"/>
      <c r="D85" s="151"/>
      <c r="E85" s="152"/>
    </row>
    <row r="86" spans="1:7" ht="15.75" thickBot="1" x14ac:dyDescent="0.3">
      <c r="A86" s="73" t="s">
        <v>234</v>
      </c>
      <c r="B86" s="74">
        <f>SUM(B80+B79+B78+B75)</f>
        <v>5325</v>
      </c>
      <c r="C86" s="153" t="s">
        <v>235</v>
      </c>
      <c r="D86" s="154"/>
      <c r="E86" s="75">
        <f>E84+E83+E82+E81+E78</f>
        <v>5325</v>
      </c>
    </row>
    <row r="88" spans="1:7" s="155" customFormat="1" ht="14.25" x14ac:dyDescent="0.2">
      <c r="A88"/>
      <c r="B88"/>
      <c r="C88"/>
      <c r="D88"/>
      <c r="E88"/>
      <c r="F88"/>
      <c r="G88"/>
    </row>
    <row r="89" spans="1:7" ht="14.25" x14ac:dyDescent="0.2">
      <c r="F89" s="155"/>
      <c r="G89" s="155"/>
    </row>
  </sheetData>
  <mergeCells count="48">
    <mergeCell ref="A84:B84"/>
    <mergeCell ref="A85:B85"/>
    <mergeCell ref="A74:B74"/>
    <mergeCell ref="A76:B76"/>
    <mergeCell ref="A77:B77"/>
    <mergeCell ref="A81:B81"/>
    <mergeCell ref="A82:B82"/>
    <mergeCell ref="A62:C62"/>
    <mergeCell ref="A63:C63"/>
    <mergeCell ref="A72:E72"/>
    <mergeCell ref="A73:B73"/>
    <mergeCell ref="A83:B83"/>
    <mergeCell ref="C75:D75"/>
    <mergeCell ref="C76:D76"/>
    <mergeCell ref="C77:D77"/>
    <mergeCell ref="C78:D78"/>
    <mergeCell ref="A53:C53"/>
    <mergeCell ref="A56:C56"/>
    <mergeCell ref="A58:C58"/>
    <mergeCell ref="A60:C60"/>
    <mergeCell ref="A61:C61"/>
    <mergeCell ref="A41:D41"/>
    <mergeCell ref="A42:C42"/>
    <mergeCell ref="A49:C49"/>
    <mergeCell ref="A50:C50"/>
    <mergeCell ref="A51:C51"/>
    <mergeCell ref="A29:B29"/>
    <mergeCell ref="C29:D29"/>
    <mergeCell ref="A30:B30"/>
    <mergeCell ref="C30:E30"/>
    <mergeCell ref="C31:D31"/>
    <mergeCell ref="C25:E25"/>
    <mergeCell ref="A26:B26"/>
    <mergeCell ref="A27:B27"/>
    <mergeCell ref="C27:D27"/>
    <mergeCell ref="C28:D28"/>
    <mergeCell ref="A17:E17"/>
    <mergeCell ref="A18:B18"/>
    <mergeCell ref="C18:E18"/>
    <mergeCell ref="A19:B19"/>
    <mergeCell ref="C19:D19"/>
    <mergeCell ref="C23:D23"/>
    <mergeCell ref="C24:E24"/>
    <mergeCell ref="C20:D20"/>
    <mergeCell ref="A21:B21"/>
    <mergeCell ref="C21:D21"/>
    <mergeCell ref="A22:B22"/>
    <mergeCell ref="C22:D22"/>
  </mergeCells>
  <phoneticPr fontId="6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14" sqref="B14"/>
    </sheetView>
  </sheetViews>
  <sheetFormatPr defaultRowHeight="12.75" x14ac:dyDescent="0.2"/>
  <cols>
    <col min="1" max="1" width="17.140625" customWidth="1"/>
    <col min="2" max="2" width="12.7109375" bestFit="1" customWidth="1"/>
    <col min="3" max="3" width="14.5703125" customWidth="1"/>
  </cols>
  <sheetData>
    <row r="1" spans="1:3" ht="22.5" x14ac:dyDescent="0.45">
      <c r="A1" s="14" t="s">
        <v>269</v>
      </c>
    </row>
    <row r="2" spans="1:3" ht="22.5" x14ac:dyDescent="0.45">
      <c r="A2" s="14"/>
    </row>
    <row r="3" spans="1:3" ht="15" x14ac:dyDescent="0.25">
      <c r="A3" s="76" t="s">
        <v>270</v>
      </c>
    </row>
    <row r="4" spans="1:3" x14ac:dyDescent="0.2">
      <c r="A4" s="157" t="s">
        <v>271</v>
      </c>
      <c r="B4" s="158">
        <v>15</v>
      </c>
      <c r="C4" s="1" t="s">
        <v>280</v>
      </c>
    </row>
    <row r="5" spans="1:3" x14ac:dyDescent="0.2">
      <c r="A5" s="157" t="s">
        <v>272</v>
      </c>
      <c r="B5" s="159">
        <v>-100000</v>
      </c>
    </row>
    <row r="6" spans="1:3" x14ac:dyDescent="0.2">
      <c r="A6" s="157" t="s">
        <v>273</v>
      </c>
      <c r="B6" s="160">
        <v>0.1</v>
      </c>
    </row>
    <row r="7" spans="1:3" x14ac:dyDescent="0.2">
      <c r="A7" s="157" t="s">
        <v>274</v>
      </c>
      <c r="B7" s="158">
        <v>0</v>
      </c>
    </row>
    <row r="8" spans="1:3" x14ac:dyDescent="0.2">
      <c r="A8" s="157" t="s">
        <v>275</v>
      </c>
      <c r="B8" s="161">
        <f>PMT(B6,B4,B5,B7)</f>
        <v>13147.377688737222</v>
      </c>
    </row>
    <row r="10" spans="1:3" ht="15" x14ac:dyDescent="0.25">
      <c r="A10" s="76" t="s">
        <v>270</v>
      </c>
    </row>
    <row r="11" spans="1:3" x14ac:dyDescent="0.2">
      <c r="A11" s="235" t="s">
        <v>276</v>
      </c>
      <c r="B11" s="236"/>
    </row>
    <row r="12" spans="1:3" x14ac:dyDescent="0.2">
      <c r="A12" s="162" t="s">
        <v>277</v>
      </c>
      <c r="B12" s="161"/>
    </row>
    <row r="13" spans="1:3" x14ac:dyDescent="0.2">
      <c r="A13" s="163">
        <v>0.02</v>
      </c>
      <c r="B13" s="161">
        <f>PMT(A13,$B$4,$B$5,$B$7)</f>
        <v>7782.547225024412</v>
      </c>
    </row>
    <row r="14" spans="1:3" x14ac:dyDescent="0.2">
      <c r="A14" s="163">
        <v>0.03</v>
      </c>
      <c r="B14" s="161">
        <f t="shared" ref="B14:B26" si="0">PMT(A14,$B$4,$B$5,$B$7)</f>
        <v>8376.6580462288039</v>
      </c>
    </row>
    <row r="15" spans="1:3" x14ac:dyDescent="0.2">
      <c r="A15" s="163">
        <v>0.04</v>
      </c>
      <c r="B15" s="161">
        <f t="shared" si="0"/>
        <v>8994.1100370973199</v>
      </c>
    </row>
    <row r="16" spans="1:3" x14ac:dyDescent="0.2">
      <c r="A16" s="163">
        <v>0.05</v>
      </c>
      <c r="B16" s="161">
        <f t="shared" si="0"/>
        <v>9634.2287609244358</v>
      </c>
    </row>
    <row r="17" spans="1:2" x14ac:dyDescent="0.2">
      <c r="A17" s="163">
        <v>0.06</v>
      </c>
      <c r="B17" s="161">
        <f t="shared" si="0"/>
        <v>10296.276395531271</v>
      </c>
    </row>
    <row r="18" spans="1:2" x14ac:dyDescent="0.2">
      <c r="A18" s="163">
        <v>7.0000000000000007E-2</v>
      </c>
      <c r="B18" s="161">
        <f t="shared" si="0"/>
        <v>10979.462470100654</v>
      </c>
    </row>
    <row r="19" spans="1:2" x14ac:dyDescent="0.2">
      <c r="A19" s="163">
        <v>0.08</v>
      </c>
      <c r="B19" s="161">
        <f t="shared" si="0"/>
        <v>11682.954493602005</v>
      </c>
    </row>
    <row r="20" spans="1:2" x14ac:dyDescent="0.2">
      <c r="A20" s="163">
        <v>0.09</v>
      </c>
      <c r="B20" s="161">
        <f t="shared" si="0"/>
        <v>12405.88826503101</v>
      </c>
    </row>
    <row r="21" spans="1:2" x14ac:dyDescent="0.2">
      <c r="A21" s="163">
        <v>0.1</v>
      </c>
      <c r="B21" s="161">
        <f t="shared" si="0"/>
        <v>13147.377688737222</v>
      </c>
    </row>
    <row r="22" spans="1:2" x14ac:dyDescent="0.2">
      <c r="A22" s="163">
        <v>0.11</v>
      </c>
      <c r="B22" s="161">
        <f t="shared" si="0"/>
        <v>13906.523952966845</v>
      </c>
    </row>
    <row r="23" spans="1:2" x14ac:dyDescent="0.2">
      <c r="A23" s="163">
        <v>0.12</v>
      </c>
      <c r="B23" s="161">
        <f t="shared" si="0"/>
        <v>14682.423964634634</v>
      </c>
    </row>
    <row r="24" spans="1:2" x14ac:dyDescent="0.2">
      <c r="A24" s="163">
        <v>0.13</v>
      </c>
      <c r="B24" s="161">
        <f t="shared" si="0"/>
        <v>15474.177966779345</v>
      </c>
    </row>
    <row r="25" spans="1:2" x14ac:dyDescent="0.2">
      <c r="A25" s="163">
        <v>0.14000000000000001</v>
      </c>
      <c r="B25" s="161">
        <f t="shared" si="0"/>
        <v>16280.896296002793</v>
      </c>
    </row>
    <row r="26" spans="1:2" x14ac:dyDescent="0.2">
      <c r="A26" s="163">
        <v>0.15</v>
      </c>
      <c r="B26" s="161">
        <f t="shared" si="0"/>
        <v>17101.705264630109</v>
      </c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Debitorer</vt:lpstr>
      <vt:lpstr>Fakturaer</vt:lpstr>
      <vt:lpstr>opgave 1.4</vt:lpstr>
      <vt:lpstr>Ordrelinier</vt:lpstr>
      <vt:lpstr>Varelager</vt:lpstr>
      <vt:lpstr>DATA TIL opgave 2</vt:lpstr>
      <vt:lpstr>ØKONOMIMODEL til opgave 3</vt:lpstr>
      <vt:lpstr>Opgave 4</vt:lpstr>
      <vt:lpstr>Ark1</vt:lpstr>
      <vt:lpstr>Diagram 2.3</vt:lpstr>
      <vt:lpstr>Fakturaer!Print_Titles</vt:lpstr>
      <vt:lpstr>Ordrelinier!Print_Titles</vt:lpstr>
      <vt:lpstr>Fakturaer!Query_from_XAL35</vt:lpstr>
      <vt:lpstr>Ordrelinier!Query_from_XAL35</vt:lpstr>
      <vt:lpstr>Varelager!Query_from_XAL35</vt:lpstr>
    </vt:vector>
  </TitlesOfParts>
  <Company>UFJ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UFJ</dc:creator>
  <cp:lastModifiedBy>Jesper Brygger</cp:lastModifiedBy>
  <cp:lastPrinted>2012-10-11T07:02:28Z</cp:lastPrinted>
  <dcterms:created xsi:type="dcterms:W3CDTF">2002-10-27T09:49:01Z</dcterms:created>
  <dcterms:modified xsi:type="dcterms:W3CDTF">2012-12-10T19:04:57Z</dcterms:modified>
</cp:coreProperties>
</file>