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livergehlnielsen/Desktop/"/>
    </mc:Choice>
  </mc:AlternateContent>
  <xr:revisionPtr revIDLastSave="0" documentId="8_{91076F2F-C78C-1A4F-9882-FC026D1C79A0}" xr6:coauthVersionLast="47" xr6:coauthVersionMax="47" xr10:uidLastSave="{00000000-0000-0000-0000-000000000000}"/>
  <bookViews>
    <workbookView xWindow="0" yWindow="500" windowWidth="28800" windowHeight="16120" activeTab="3" xr2:uid="{DE6ED962-C23F-584B-B0BE-8FCD66A7280D}"/>
  </bookViews>
  <sheets>
    <sheet name="Relativ værdiansættelse" sheetId="1" r:id="rId1"/>
    <sheet name="Årlig vækst" sheetId="2" r:id="rId2"/>
    <sheet name="DSV - Betaværdi" sheetId="3" r:id="rId3"/>
    <sheet name="CAPM" sheetId="4" r:id="rId4"/>
    <sheet name="WACC" sheetId="5" r:id="rId5"/>
    <sheet name="Resultatopgørelse" sheetId="6" r:id="rId6"/>
    <sheet name="EBIT &amp; FCF &amp; Balance" sheetId="7" r:id="rId7"/>
    <sheet name="DCF" sheetId="8" r:id="rId8"/>
    <sheet name="Terminal Value Model" sheetId="11" r:id="rId9"/>
    <sheet name="Følsomhedsanalyse" sheetId="10" r:id="rId10"/>
  </sheets>
  <definedNames>
    <definedName name="_ftn1" localSheetId="4">WACC!$A$3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  <c r="AD13" i="7"/>
  <c r="AF13" i="7" s="1"/>
  <c r="K12" i="4"/>
  <c r="I8" i="8"/>
  <c r="H8" i="8"/>
  <c r="C8" i="10"/>
  <c r="G8" i="10"/>
  <c r="F8" i="10"/>
  <c r="D9" i="8"/>
  <c r="D7" i="8" s="1"/>
  <c r="U56" i="7"/>
  <c r="K10" i="4"/>
  <c r="AD26" i="7"/>
  <c r="D10" i="8"/>
  <c r="M41" i="6"/>
  <c r="E21" i="7"/>
  <c r="D21" i="7"/>
  <c r="F21" i="7"/>
  <c r="G21" i="7"/>
  <c r="H21" i="7"/>
  <c r="E19" i="7"/>
  <c r="D19" i="7"/>
  <c r="AD15" i="7"/>
  <c r="AD14" i="7"/>
  <c r="AD17" i="7"/>
  <c r="AD18" i="7"/>
  <c r="AD19" i="7"/>
  <c r="AD20" i="7"/>
  <c r="AD21" i="7"/>
  <c r="AD22" i="7"/>
  <c r="AD36" i="7"/>
  <c r="AD29" i="7"/>
  <c r="AD12" i="7"/>
  <c r="AC22" i="7"/>
  <c r="AE22" i="7"/>
  <c r="O21" i="7"/>
  <c r="R46" i="7"/>
  <c r="R28" i="7"/>
  <c r="AE29" i="7" s="1"/>
  <c r="AC21" i="7"/>
  <c r="AC20" i="7"/>
  <c r="AE20" i="7"/>
  <c r="AC19" i="7"/>
  <c r="AC18" i="7"/>
  <c r="AE18" i="7"/>
  <c r="AE17" i="7"/>
  <c r="AC17" i="7"/>
  <c r="S6" i="7"/>
  <c r="AE40" i="7"/>
  <c r="R44" i="7"/>
  <c r="AE45" i="7" s="1"/>
  <c r="AE38" i="7"/>
  <c r="AD41" i="7"/>
  <c r="P47" i="7"/>
  <c r="AC12" i="7"/>
  <c r="AC10" i="7"/>
  <c r="AD7" i="7"/>
  <c r="AC8" i="7"/>
  <c r="AC7" i="7"/>
  <c r="AE7" i="7"/>
  <c r="AD10" i="7"/>
  <c r="AD9" i="7"/>
  <c r="AD8" i="7"/>
  <c r="AF45" i="7" l="1"/>
  <c r="E41" i="6" l="1"/>
  <c r="L17" i="3"/>
  <c r="M12" i="5"/>
  <c r="I19" i="3"/>
  <c r="C20" i="1"/>
  <c r="C22" i="1"/>
  <c r="C16" i="1"/>
  <c r="C9" i="1"/>
  <c r="J30" i="3"/>
  <c r="I18" i="3"/>
  <c r="S56" i="7"/>
  <c r="N16" i="11"/>
  <c r="F12" i="4"/>
  <c r="J41" i="6"/>
  <c r="F3" i="3"/>
  <c r="D12" i="8"/>
  <c r="D13" i="8"/>
  <c r="R42" i="7"/>
  <c r="AE36" i="7"/>
  <c r="AE37" i="7"/>
  <c r="AE39" i="7"/>
  <c r="AE41" i="7"/>
  <c r="AE42" i="7"/>
  <c r="AE30" i="7"/>
  <c r="E31" i="6"/>
  <c r="F31" i="6"/>
  <c r="G31" i="6"/>
  <c r="H31" i="6"/>
  <c r="E32" i="6"/>
  <c r="I31" i="6"/>
  <c r="I32" i="6"/>
  <c r="H22" i="6"/>
  <c r="Q56" i="7"/>
  <c r="R14" i="5"/>
  <c r="I8" i="5" s="1"/>
  <c r="R20" i="5"/>
  <c r="E8" i="5" s="1"/>
  <c r="E9" i="5" s="1"/>
  <c r="S62" i="7"/>
  <c r="T64" i="7" s="1"/>
  <c r="N56" i="7"/>
  <c r="R56" i="7"/>
  <c r="P12" i="7"/>
  <c r="P20" i="7"/>
  <c r="J38" i="7"/>
  <c r="D45" i="2"/>
  <c r="K14" i="2" s="1"/>
  <c r="K41" i="6"/>
  <c r="L41" i="6"/>
  <c r="M10" i="4"/>
  <c r="M12" i="4" s="1"/>
  <c r="E20" i="10" l="1"/>
  <c r="V64" i="7"/>
  <c r="W64" i="7"/>
  <c r="M17" i="11"/>
  <c r="AE43" i="7"/>
  <c r="H24" i="6"/>
  <c r="H41" i="6" s="1"/>
  <c r="S64" i="7"/>
  <c r="U64" i="7"/>
  <c r="D20" i="10" l="1"/>
  <c r="C20" i="10" s="1"/>
  <c r="F20" i="10"/>
  <c r="G20" i="10" s="1"/>
  <c r="I9" i="5"/>
  <c r="I12" i="5" s="1"/>
  <c r="E12" i="5"/>
  <c r="N12" i="7" l="1"/>
  <c r="O56" i="7"/>
  <c r="P56" i="7"/>
  <c r="O12" i="7"/>
  <c r="R34" i="7"/>
  <c r="R43" i="7" s="1"/>
  <c r="R10" i="5" l="1"/>
  <c r="R11" i="5" s="1"/>
  <c r="K8" i="5" s="1"/>
  <c r="K12" i="5" s="1"/>
  <c r="AE44" i="7"/>
  <c r="G15" i="5" l="1"/>
  <c r="Q34" i="7"/>
  <c r="Q26" i="7"/>
  <c r="Q28" i="7" s="1"/>
  <c r="AE26" i="7"/>
  <c r="AE28" i="7"/>
  <c r="AE31" i="7"/>
  <c r="AE32" i="7"/>
  <c r="AE33" i="7"/>
  <c r="AE34" i="7"/>
  <c r="AE25" i="7"/>
  <c r="AD28" i="7"/>
  <c r="AD30" i="7"/>
  <c r="AD31" i="7"/>
  <c r="AD32" i="7"/>
  <c r="AD33" i="7"/>
  <c r="AD34" i="7"/>
  <c r="AD37" i="7"/>
  <c r="AD38" i="7"/>
  <c r="AD39" i="7"/>
  <c r="AD40" i="7"/>
  <c r="AD42" i="7"/>
  <c r="AD25" i="7"/>
  <c r="AC26" i="7"/>
  <c r="AC28" i="7"/>
  <c r="AC30" i="7"/>
  <c r="AC31" i="7"/>
  <c r="AC32" i="7"/>
  <c r="AC33" i="7"/>
  <c r="AC34" i="7"/>
  <c r="AC36" i="7"/>
  <c r="AF36" i="7" s="1"/>
  <c r="AC37" i="7"/>
  <c r="AC38" i="7"/>
  <c r="AC39" i="7"/>
  <c r="AC40" i="7"/>
  <c r="AC41" i="7"/>
  <c r="AC42" i="7"/>
  <c r="AC25" i="7"/>
  <c r="AE19" i="7"/>
  <c r="AE15" i="7"/>
  <c r="AE14" i="7"/>
  <c r="AE12" i="7"/>
  <c r="AE10" i="7"/>
  <c r="AE9" i="7"/>
  <c r="AE8" i="7"/>
  <c r="AC15" i="7"/>
  <c r="AC14" i="7"/>
  <c r="AC9" i="7"/>
  <c r="AF7" i="7" l="1"/>
  <c r="AF10" i="7"/>
  <c r="AF34" i="7"/>
  <c r="AF8" i="7"/>
  <c r="AF19" i="7"/>
  <c r="AF17" i="7"/>
  <c r="S15" i="7" s="1"/>
  <c r="AF18" i="7"/>
  <c r="AF9" i="7"/>
  <c r="AF20" i="7"/>
  <c r="AF32" i="7"/>
  <c r="AF12" i="7"/>
  <c r="AF40" i="7"/>
  <c r="S39" i="7" s="1"/>
  <c r="AF33" i="7"/>
  <c r="AF41" i="7"/>
  <c r="AF31" i="7"/>
  <c r="AF39" i="7"/>
  <c r="AF38" i="7"/>
  <c r="AF14" i="7"/>
  <c r="AF37" i="7"/>
  <c r="AF25" i="7"/>
  <c r="AF42" i="7"/>
  <c r="AF30" i="7"/>
  <c r="AF28" i="7"/>
  <c r="AF26" i="7"/>
  <c r="AF15" i="7"/>
  <c r="O42" i="7"/>
  <c r="P42" i="7"/>
  <c r="Q42" i="7"/>
  <c r="AD43" i="7" s="1"/>
  <c r="N42" i="7"/>
  <c r="O34" i="7"/>
  <c r="P34" i="7"/>
  <c r="AC35" i="7" s="1"/>
  <c r="AD35" i="7"/>
  <c r="AE35" i="7"/>
  <c r="N34" i="7"/>
  <c r="O26" i="7"/>
  <c r="O28" i="7" s="1"/>
  <c r="P26" i="7"/>
  <c r="P28" i="7" s="1"/>
  <c r="N26" i="7"/>
  <c r="N28" i="7" s="1"/>
  <c r="AE21" i="7"/>
  <c r="O20" i="7"/>
  <c r="Q20" i="7"/>
  <c r="N20" i="7"/>
  <c r="AC13" i="7"/>
  <c r="Q12" i="7"/>
  <c r="AE13" i="7"/>
  <c r="Q46" i="7" l="1"/>
  <c r="R47" i="7" s="1"/>
  <c r="N46" i="7"/>
  <c r="AE27" i="7"/>
  <c r="AD27" i="7"/>
  <c r="AC29" i="7"/>
  <c r="AC27" i="7"/>
  <c r="P43" i="7"/>
  <c r="AC44" i="7" s="1"/>
  <c r="AC43" i="7"/>
  <c r="AF43" i="7" s="1"/>
  <c r="AF35" i="7"/>
  <c r="P46" i="7"/>
  <c r="Q47" i="7" s="1"/>
  <c r="O46" i="7"/>
  <c r="AF21" i="7"/>
  <c r="Q43" i="7"/>
  <c r="Q44" i="7" s="1"/>
  <c r="O43" i="7"/>
  <c r="O44" i="7" s="1"/>
  <c r="N43" i="7"/>
  <c r="N44" i="7" s="1"/>
  <c r="Q21" i="7"/>
  <c r="N21" i="7"/>
  <c r="P21" i="7"/>
  <c r="E13" i="2"/>
  <c r="F33" i="6"/>
  <c r="H36" i="6"/>
  <c r="E35" i="6"/>
  <c r="I34" i="6"/>
  <c r="I17" i="6"/>
  <c r="I20" i="6" s="1"/>
  <c r="H17" i="6"/>
  <c r="G17" i="6"/>
  <c r="F17" i="6"/>
  <c r="E17" i="6"/>
  <c r="E20" i="6" s="1"/>
  <c r="E22" i="6" s="1"/>
  <c r="E24" i="6" s="1"/>
  <c r="F13" i="2"/>
  <c r="D13" i="2"/>
  <c r="M7" i="2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C3" i="3"/>
  <c r="F14" i="4" s="1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K7" i="2"/>
  <c r="E7" i="2"/>
  <c r="F7" i="2"/>
  <c r="G7" i="2"/>
  <c r="H7" i="2"/>
  <c r="I7" i="2"/>
  <c r="J7" i="2"/>
  <c r="L7" i="2"/>
  <c r="G8" i="5" l="1"/>
  <c r="G12" i="5" s="1"/>
  <c r="E15" i="5" s="1"/>
  <c r="I18" i="5" s="1"/>
  <c r="G13" i="2"/>
  <c r="N7" i="2"/>
  <c r="K15" i="2" s="1"/>
  <c r="O47" i="7"/>
  <c r="N47" i="7"/>
  <c r="I22" i="6"/>
  <c r="F20" i="6"/>
  <c r="F22" i="6" s="1"/>
  <c r="G20" i="6"/>
  <c r="G22" i="6" s="1"/>
  <c r="AF27" i="7"/>
  <c r="G36" i="6"/>
  <c r="F36" i="6"/>
  <c r="H34" i="6"/>
  <c r="E36" i="6"/>
  <c r="F34" i="6"/>
  <c r="G34" i="6"/>
  <c r="AF29" i="7"/>
  <c r="AF22" i="7"/>
  <c r="AD45" i="7"/>
  <c r="AD44" i="7"/>
  <c r="P44" i="7"/>
  <c r="AC45" i="7" s="1"/>
  <c r="H35" i="6"/>
  <c r="G35" i="6"/>
  <c r="I33" i="6"/>
  <c r="I35" i="6"/>
  <c r="H33" i="6"/>
  <c r="F35" i="6"/>
  <c r="G33" i="6"/>
  <c r="E34" i="6"/>
  <c r="H32" i="6"/>
  <c r="G32" i="6"/>
  <c r="E33" i="6"/>
  <c r="F32" i="6"/>
  <c r="E5" i="10" l="1"/>
  <c r="E18" i="5"/>
  <c r="J36" i="6"/>
  <c r="O16" i="6"/>
  <c r="M16" i="6"/>
  <c r="M15" i="6" s="1"/>
  <c r="S65" i="7" s="1"/>
  <c r="N16" i="6"/>
  <c r="K16" i="2"/>
  <c r="K17" i="2" s="1"/>
  <c r="I24" i="6"/>
  <c r="I41" i="6" s="1"/>
  <c r="G24" i="6"/>
  <c r="G41" i="6" s="1"/>
  <c r="F24" i="6"/>
  <c r="F41" i="6" s="1"/>
  <c r="J32" i="6"/>
  <c r="J35" i="6"/>
  <c r="J33" i="6"/>
  <c r="J34" i="6"/>
  <c r="AF44" i="7"/>
  <c r="F5" i="10" l="1"/>
  <c r="G5" i="10" s="1"/>
  <c r="D5" i="10"/>
  <c r="C5" i="10" s="1"/>
  <c r="K17" i="11"/>
  <c r="H21" i="11" s="1"/>
  <c r="M28" i="6"/>
  <c r="M33" i="6" s="1"/>
  <c r="M34" i="6" s="1"/>
  <c r="M22" i="6" s="1"/>
  <c r="D12" i="7" s="1"/>
  <c r="D17" i="7" s="1"/>
  <c r="Q28" i="6"/>
  <c r="P16" i="6"/>
  <c r="Q16" i="6"/>
  <c r="E7" i="8"/>
  <c r="F7" i="8"/>
  <c r="H7" i="8"/>
  <c r="I7" i="8" s="1"/>
  <c r="G7" i="8"/>
  <c r="E13" i="10"/>
  <c r="P28" i="6"/>
  <c r="N28" i="6"/>
  <c r="O28" i="6"/>
  <c r="F13" i="10" l="1"/>
  <c r="G13" i="10" s="1"/>
  <c r="D13" i="10"/>
  <c r="C13" i="10" s="1"/>
  <c r="T48" i="7" l="1"/>
  <c r="D6" i="7"/>
  <c r="S35" i="7"/>
  <c r="S13" i="7"/>
  <c r="S8" i="7"/>
  <c r="S7" i="7"/>
  <c r="S24" i="7" l="1"/>
  <c r="S29" i="7"/>
  <c r="S10" i="7"/>
  <c r="S12" i="7" s="1"/>
  <c r="S33" i="7"/>
  <c r="S32" i="7"/>
  <c r="S9" i="7"/>
  <c r="S19" i="7"/>
  <c r="N15" i="6"/>
  <c r="S14" i="7"/>
  <c r="S40" i="7"/>
  <c r="S30" i="7"/>
  <c r="S18" i="7"/>
  <c r="S17" i="7"/>
  <c r="S36" i="7"/>
  <c r="S41" i="7"/>
  <c r="S37" i="7"/>
  <c r="S31" i="7"/>
  <c r="S27" i="7"/>
  <c r="S38" i="7"/>
  <c r="S25" i="7"/>
  <c r="S34" i="7" l="1"/>
  <c r="S20" i="7"/>
  <c r="S42" i="7"/>
  <c r="M19" i="6"/>
  <c r="D9" i="7" s="1"/>
  <c r="M17" i="6"/>
  <c r="D7" i="7" s="1"/>
  <c r="M20" i="6"/>
  <c r="D10" i="7" s="1"/>
  <c r="M24" i="6"/>
  <c r="D14" i="7" s="1"/>
  <c r="T40" i="7"/>
  <c r="T9" i="7"/>
  <c r="T41" i="7"/>
  <c r="N33" i="6"/>
  <c r="N34" i="6" s="1"/>
  <c r="E6" i="7"/>
  <c r="T6" i="7"/>
  <c r="T38" i="7"/>
  <c r="T10" i="7"/>
  <c r="T31" i="7"/>
  <c r="T35" i="7"/>
  <c r="T65" i="7"/>
  <c r="T27" i="7"/>
  <c r="T19" i="7"/>
  <c r="T29" i="7"/>
  <c r="T25" i="7"/>
  <c r="T13" i="7"/>
  <c r="T36" i="7"/>
  <c r="T17" i="7"/>
  <c r="T30" i="7"/>
  <c r="T8" i="7"/>
  <c r="O15" i="6"/>
  <c r="T37" i="7"/>
  <c r="T33" i="7"/>
  <c r="T7" i="7"/>
  <c r="T32" i="7"/>
  <c r="T15" i="7"/>
  <c r="T39" i="7"/>
  <c r="T18" i="7"/>
  <c r="T24" i="7"/>
  <c r="T14" i="7"/>
  <c r="S26" i="7"/>
  <c r="S28" i="7" s="1"/>
  <c r="S21" i="7" l="1"/>
  <c r="S46" i="7"/>
  <c r="S47" i="7" s="1"/>
  <c r="S43" i="7"/>
  <c r="S44" i="7" s="1"/>
  <c r="T34" i="7"/>
  <c r="T12" i="7"/>
  <c r="T26" i="7"/>
  <c r="T28" i="7" s="1"/>
  <c r="T42" i="7"/>
  <c r="F6" i="7"/>
  <c r="U7" i="7"/>
  <c r="U8" i="7"/>
  <c r="P15" i="6"/>
  <c r="U13" i="7"/>
  <c r="U36" i="7"/>
  <c r="U38" i="7"/>
  <c r="U24" i="7"/>
  <c r="U10" i="7"/>
  <c r="U9" i="7"/>
  <c r="U15" i="7"/>
  <c r="U18" i="7"/>
  <c r="U41" i="7"/>
  <c r="U40" i="7"/>
  <c r="U33" i="7"/>
  <c r="U29" i="7"/>
  <c r="U19" i="7"/>
  <c r="U31" i="7"/>
  <c r="U25" i="7"/>
  <c r="U35" i="7"/>
  <c r="U6" i="7"/>
  <c r="U37" i="7"/>
  <c r="U17" i="7"/>
  <c r="U65" i="7"/>
  <c r="U30" i="7"/>
  <c r="O33" i="6"/>
  <c r="O34" i="6" s="1"/>
  <c r="U32" i="7"/>
  <c r="U39" i="7"/>
  <c r="U27" i="7"/>
  <c r="U14" i="7"/>
  <c r="T20" i="7"/>
  <c r="M18" i="6"/>
  <c r="N22" i="6"/>
  <c r="E12" i="7" s="1"/>
  <c r="E17" i="7" s="1"/>
  <c r="N19" i="6"/>
  <c r="E9" i="7" s="1"/>
  <c r="N24" i="6"/>
  <c r="E14" i="7" s="1"/>
  <c r="N20" i="6"/>
  <c r="E10" i="7" s="1"/>
  <c r="N17" i="6"/>
  <c r="V65" i="7" l="1"/>
  <c r="V6" i="7"/>
  <c r="Q15" i="6"/>
  <c r="T43" i="7"/>
  <c r="T44" i="7" s="1"/>
  <c r="U20" i="7"/>
  <c r="O17" i="6"/>
  <c r="O20" i="6"/>
  <c r="F10" i="7" s="1"/>
  <c r="O24" i="6"/>
  <c r="F14" i="7" s="1"/>
  <c r="O19" i="6"/>
  <c r="F9" i="7" s="1"/>
  <c r="O22" i="6"/>
  <c r="F12" i="7" s="1"/>
  <c r="F17" i="7" s="1"/>
  <c r="T21" i="7"/>
  <c r="T46" i="7"/>
  <c r="V7" i="7"/>
  <c r="V18" i="7"/>
  <c r="V35" i="7"/>
  <c r="V24" i="7"/>
  <c r="P33" i="6"/>
  <c r="P34" i="6" s="1"/>
  <c r="V15" i="7"/>
  <c r="V33" i="7"/>
  <c r="V8" i="7"/>
  <c r="V32" i="7"/>
  <c r="V19" i="7"/>
  <c r="V30" i="7"/>
  <c r="V41" i="7"/>
  <c r="V37" i="7"/>
  <c r="V13" i="7"/>
  <c r="V36" i="7"/>
  <c r="V27" i="7"/>
  <c r="V40" i="7"/>
  <c r="V38" i="7"/>
  <c r="V17" i="7"/>
  <c r="V14" i="7"/>
  <c r="V31" i="7"/>
  <c r="V29" i="7"/>
  <c r="V9" i="7"/>
  <c r="V10" i="7"/>
  <c r="G6" i="7"/>
  <c r="V39" i="7"/>
  <c r="V25" i="7"/>
  <c r="E7" i="7"/>
  <c r="N18" i="6"/>
  <c r="U34" i="7"/>
  <c r="U26" i="7"/>
  <c r="U28" i="7" s="1"/>
  <c r="D8" i="7"/>
  <c r="M21" i="6"/>
  <c r="M23" i="6" s="1"/>
  <c r="M25" i="6" s="1"/>
  <c r="U12" i="7"/>
  <c r="U42" i="7"/>
  <c r="U21" i="7" l="1"/>
  <c r="H6" i="7"/>
  <c r="W8" i="7"/>
  <c r="W7" i="7"/>
  <c r="W6" i="7"/>
  <c r="D13" i="7"/>
  <c r="D15" i="7" s="1"/>
  <c r="D16" i="7" s="1"/>
  <c r="W10" i="7"/>
  <c r="W31" i="7"/>
  <c r="W13" i="7"/>
  <c r="W35" i="7"/>
  <c r="W18" i="7"/>
  <c r="W27" i="7"/>
  <c r="W17" i="7"/>
  <c r="W41" i="7"/>
  <c r="W29" i="7"/>
  <c r="W36" i="7"/>
  <c r="W33" i="7"/>
  <c r="W65" i="7"/>
  <c r="X65" i="7" s="1"/>
  <c r="W37" i="7"/>
  <c r="Q33" i="6"/>
  <c r="Q34" i="6" s="1"/>
  <c r="W14" i="7"/>
  <c r="W40" i="7"/>
  <c r="W24" i="7"/>
  <c r="W26" i="7" s="1"/>
  <c r="W9" i="7"/>
  <c r="W15" i="7"/>
  <c r="W30" i="7"/>
  <c r="W32" i="7"/>
  <c r="W38" i="7"/>
  <c r="W25" i="7"/>
  <c r="W19" i="7"/>
  <c r="W39" i="7"/>
  <c r="V34" i="7"/>
  <c r="N21" i="6"/>
  <c r="E8" i="7"/>
  <c r="V20" i="7"/>
  <c r="U43" i="7"/>
  <c r="U44" i="7" s="1"/>
  <c r="V12" i="7"/>
  <c r="P24" i="6"/>
  <c r="G14" i="7" s="1"/>
  <c r="P19" i="6"/>
  <c r="G9" i="7" s="1"/>
  <c r="P17" i="6"/>
  <c r="P22" i="6"/>
  <c r="G12" i="7" s="1"/>
  <c r="G17" i="7" s="1"/>
  <c r="P20" i="6"/>
  <c r="G10" i="7" s="1"/>
  <c r="T47" i="7"/>
  <c r="F7" i="7"/>
  <c r="O18" i="6"/>
  <c r="D11" i="7"/>
  <c r="V26" i="7"/>
  <c r="V28" i="7" s="1"/>
  <c r="V42" i="7"/>
  <c r="U46" i="7"/>
  <c r="V43" i="7" l="1"/>
  <c r="V44" i="7" s="1"/>
  <c r="W12" i="7"/>
  <c r="W20" i="7"/>
  <c r="Q17" i="6"/>
  <c r="Q20" i="6"/>
  <c r="H10" i="7" s="1"/>
  <c r="W28" i="7"/>
  <c r="O21" i="6"/>
  <c r="F8" i="7"/>
  <c r="Q19" i="6"/>
  <c r="H9" i="7" s="1"/>
  <c r="Q24" i="6"/>
  <c r="H14" i="7" s="1"/>
  <c r="Q22" i="6"/>
  <c r="H12" i="7" s="1"/>
  <c r="H17" i="7" s="1"/>
  <c r="W42" i="7"/>
  <c r="U47" i="7"/>
  <c r="F19" i="7" s="1"/>
  <c r="V46" i="7"/>
  <c r="V47" i="7" s="1"/>
  <c r="G19" i="7" s="1"/>
  <c r="V21" i="7"/>
  <c r="W34" i="7"/>
  <c r="N23" i="6"/>
  <c r="E11" i="7"/>
  <c r="G7" i="7"/>
  <c r="P18" i="6"/>
  <c r="W43" i="7" l="1"/>
  <c r="W44" i="7" s="1"/>
  <c r="E13" i="7"/>
  <c r="E15" i="7" s="1"/>
  <c r="N25" i="6"/>
  <c r="O23" i="6"/>
  <c r="F11" i="7"/>
  <c r="W21" i="7"/>
  <c r="W46" i="7"/>
  <c r="W47" i="7" s="1"/>
  <c r="H19" i="7" s="1"/>
  <c r="H7" i="7"/>
  <c r="Q18" i="6"/>
  <c r="G8" i="7"/>
  <c r="P21" i="6"/>
  <c r="D18" i="7"/>
  <c r="D20" i="7" l="1"/>
  <c r="D22" i="7" s="1"/>
  <c r="D6" i="8" s="1"/>
  <c r="Q21" i="6"/>
  <c r="Q23" i="6" s="1"/>
  <c r="Q25" i="6" s="1"/>
  <c r="H8" i="7"/>
  <c r="F13" i="7"/>
  <c r="F15" i="7" s="1"/>
  <c r="O25" i="6"/>
  <c r="G11" i="7"/>
  <c r="P23" i="6"/>
  <c r="E16" i="7"/>
  <c r="E18" i="7" s="1"/>
  <c r="E20" i="7" s="1"/>
  <c r="E22" i="7" s="1"/>
  <c r="E6" i="8" s="1"/>
  <c r="E8" i="8" s="1"/>
  <c r="D8" i="8" l="1"/>
  <c r="P25" i="6"/>
  <c r="G13" i="7"/>
  <c r="G15" i="7" s="1"/>
  <c r="F16" i="7"/>
  <c r="F18" i="7" s="1"/>
  <c r="F20" i="7" s="1"/>
  <c r="F22" i="7" s="1"/>
  <c r="F6" i="8" s="1"/>
  <c r="F8" i="8" s="1"/>
  <c r="H11" i="7"/>
  <c r="H13" i="7" l="1"/>
  <c r="H15" i="7" s="1"/>
  <c r="H16" i="7" s="1"/>
  <c r="G16" i="7"/>
  <c r="G18" i="7" s="1"/>
  <c r="G20" i="7" s="1"/>
  <c r="G22" i="7" s="1"/>
  <c r="G6" i="8" s="1"/>
  <c r="G8" i="8" s="1"/>
  <c r="H18" i="7" l="1"/>
  <c r="H20" i="7" s="1"/>
  <c r="H22" i="7" l="1"/>
  <c r="H6" i="8" s="1"/>
  <c r="I16" i="11" l="1"/>
  <c r="H20" i="11" l="1"/>
  <c r="I24" i="11" s="1"/>
  <c r="I6" i="8" l="1"/>
  <c r="D11" i="8" s="1"/>
  <c r="D14" i="8" s="1"/>
  <c r="D16" i="8" l="1"/>
  <c r="E22" i="10" s="1"/>
  <c r="E21" i="10"/>
  <c r="E6" i="10"/>
  <c r="E7" i="10" s="1"/>
  <c r="E8" i="10" s="1"/>
  <c r="E14" i="10"/>
  <c r="E15" i="10" l="1"/>
  <c r="D8" i="10"/>
  <c r="F23" i="10"/>
  <c r="G23" i="10"/>
  <c r="E23" i="10"/>
  <c r="C23" i="10"/>
  <c r="D23" i="10"/>
  <c r="F16" i="10" l="1"/>
  <c r="D16" i="10"/>
  <c r="G16" i="10"/>
  <c r="E16" i="10"/>
  <c r="C1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tc={84B13E55-10BC-A148-80C3-604544BD7A4C}</author>
  </authors>
  <commentList>
    <comment ref="B16" authorId="0" shapeId="0" xr:uid="{84B13E55-10BC-A148-80C3-604544BD7A4C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Denne normaliserede indtjening er over en 2 årig periode. (2022 og 2023)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Jesper Brygger</author>
    <author>tc={1000BF30-FE5B-6340-8669-B4535C5588E4}</author>
  </authors>
  <commentList>
    <comment ref="C8" authorId="0" shapeId="0" xr:uid="{2DAA1539-E64F-2441-B2B6-E023199F4338}">
      <text>
        <r>
          <rPr>
            <sz val="9"/>
            <color rgb="FF000000"/>
            <rFont val="Tahoma"/>
            <family val="2"/>
          </rPr>
          <t xml:space="preserve">R=Det forventede afkast. Det er den rente som skal indsættes i WACC som EKF (egenkapitalens forrentning). Kan også udtrykkes som kravet til forrentning på den "aktie" som man vil købe.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8" authorId="0" shapeId="0" xr:uid="{751E6A33-E1A7-5A47-8303-7BB056CAB5E0}">
      <text>
        <r>
          <rPr>
            <sz val="9"/>
            <color rgb="FF000000"/>
            <rFont val="Tahoma"/>
            <family val="2"/>
          </rPr>
          <t>R</t>
        </r>
        <r>
          <rPr>
            <vertAlign val="subscript"/>
            <sz val="9"/>
            <color rgb="FF000000"/>
            <rFont val="Tahoma"/>
            <family val="2"/>
          </rPr>
          <t>m</t>
        </r>
        <r>
          <rPr>
            <sz val="9"/>
            <color rgb="FF000000"/>
            <rFont val="Tahoma"/>
            <family val="2"/>
          </rPr>
          <t xml:space="preserve">= Markedsrenten /markedsafkastet.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8" authorId="0" shapeId="0" xr:uid="{A3E6623A-C80A-2B44-9B9B-96B986DDECE1}">
      <text>
        <r>
          <rPr>
            <sz val="9"/>
            <color rgb="FF000000"/>
            <rFont val="Tahoma"/>
            <family val="2"/>
          </rPr>
          <t>R</t>
        </r>
        <r>
          <rPr>
            <vertAlign val="subscript"/>
            <sz val="9"/>
            <color rgb="FF000000"/>
            <rFont val="Tahoma"/>
            <family val="2"/>
          </rPr>
          <t>f</t>
        </r>
        <r>
          <rPr>
            <sz val="9"/>
            <color rgb="FF000000"/>
            <rFont val="Tahoma"/>
            <family val="2"/>
          </rPr>
          <t xml:space="preserve">= Den risikofri rente, normalt renten på en statsobligation.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Nuværende statsobligation rente er 2,25 pct. - Derfor vil den også blive bennytet som den frie rente.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Kilde: 
</t>
        </r>
        <r>
          <rPr>
            <sz val="9"/>
            <color rgb="FF000000"/>
            <rFont val="Tahoma"/>
            <family val="2"/>
          </rPr>
          <t>https://www.nationalbanken.dk/media/305lncmp/dk0009924532-2-25-pct-staaende-laan-2033.pdf</t>
        </r>
      </text>
    </comment>
    <comment ref="K8" authorId="0" shapeId="0" xr:uid="{C96BE3C5-90BB-0F41-B666-8A1B9325B1FC}">
      <text>
        <r>
          <rPr>
            <sz val="9"/>
            <color rgb="FF000000"/>
            <rFont val="Calibri"/>
            <family val="2"/>
          </rPr>
          <t>β=Beta-værdien som er et "risikomål".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0" authorId="1" shapeId="0" xr:uid="{1000BF30-FE5B-6340-8669-B4535C5588E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Historisk set har C25 indekst giver 7,35% årlig afkast.
Kilde: https://dinfo.dk/afkast-paa-aktier-se-det-historiske-gennemsnitlige-afkast/
Selvom om kilden er fra 2020, anses det stadig som troværdigt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tc={98F38349-FCEC-D743-8117-CAB6CDAF7D6D}</author>
    <author>tc={6890C950-A71F-A143-959B-03D464277431}</author>
    <author>tc={F2E694A2-441A-E543-AD1A-18DD2BAE99E5}</author>
    <author>tc={D8218C90-94A5-F342-BCEA-6479C1D2FF54}</author>
    <author>tc={B7902704-1209-EF44-A9BF-91FF157D658F}</author>
    <author>tc={26E8E59E-7650-5B46-B5C6-48511EE9E32E}</author>
  </authors>
  <commentList>
    <comment ref="E4" authorId="0" shapeId="0" xr:uid="{98F38349-FCEC-D743-8117-CAB6CDAF7D6D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E = Markedsværdi af egenkapital</t>
      </text>
    </comment>
    <comment ref="G4" authorId="1" shapeId="0" xr:uid="{6890C950-A71F-A143-959B-03D46427743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EKF = Egenkapitelns forrentning, og idenne sammenhæng udgør det ejernes afkastningskrav som er fastlagt ved CAPM</t>
      </text>
    </comment>
    <comment ref="I4" authorId="2" shapeId="0" xr:uid="{F2E694A2-441A-E543-AD1A-18DD2BAE99E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Gæld= Markedsværdien af gælden. Hvis de regnskabsmæssige tal bliver benyttet, er det gælden af passiverne på balancen
G/V udgør gældsætningsgraden.
E/V (soliditetsgrad + G/V (gældsætningsgraden) skal altid være = 100%
De kaldes kapitalvægtene</t>
      </text>
    </comment>
    <comment ref="K4" authorId="3" shapeId="0" xr:uid="{D8218C90-94A5-F342-BCEA-6479C1D2FF5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GR = Gennemsnitlig rente, virksomheden betaler for fremmed kapital</t>
      </text>
    </comment>
    <comment ref="M4" authorId="4" shapeId="0" xr:uid="{B7902704-1209-EF44-A9BF-91FF157D658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Da renteomkostninger kan fratrækkes, skal dette medtages. Som beskrevet i excel udgør selsskabsskatten i dk 22%</t>
      </text>
    </comment>
    <comment ref="E5" authorId="5" shapeId="0" xr:uid="{26E8E59E-7650-5B46-B5C6-48511EE9E32E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V= Value, værdien af alle aktiver ialt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tc={A7927551-1BA3-7144-962A-62FADD8386B2}</author>
    <author>tc={CC68CA7B-C128-0549-8A29-F46ED6A764E3}</author>
  </authors>
  <commentList>
    <comment ref="O46" authorId="0" shapeId="0" xr:uid="{A7927551-1BA3-7144-962A-62FADD8386B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“Adjustment of DKK 1 million due to rounding of figures.” - Alexander Plenborg, Investor Relations in DSV</t>
      </text>
    </comment>
    <comment ref="P46" authorId="1" shapeId="0" xr:uid="{CC68CA7B-C128-0549-8A29-F46ED6A764E3}">
      <text>
        <t xml:space="preserve">[Trådet kommentar]
Din version af Excel lader dig læse denne trådede kommentar. Eventuelle ændringer vil dog blive fjernet, hvis filen åbnes i en nyere version af Excel. Få mere at vide: https://go.microsoft.com/fwlink/?linkid=870924
Kommentar:
    “Minor adjustment of DKK 1 million.” - Alexander Plenborg, Investor relations in DSV.
</t>
      </text>
    </comment>
  </commentList>
</comments>
</file>

<file path=xl/sharedStrings.xml><?xml version="1.0" encoding="utf-8"?>
<sst xmlns="http://schemas.openxmlformats.org/spreadsheetml/2006/main" count="882" uniqueCount="733">
  <si>
    <t>C.H Robinson</t>
  </si>
  <si>
    <t>P/E værdi</t>
  </si>
  <si>
    <t>Firma</t>
  </si>
  <si>
    <t xml:space="preserve">DSV </t>
  </si>
  <si>
    <t>DHL Group</t>
  </si>
  <si>
    <t>UPS</t>
  </si>
  <si>
    <t>FedEx</t>
  </si>
  <si>
    <t>A.P Møller Maersk</t>
  </si>
  <si>
    <t>Gennemsnit</t>
  </si>
  <si>
    <t>DSV normaliserede indtjening</t>
  </si>
  <si>
    <t>Adjusted earnings</t>
  </si>
  <si>
    <t>Normaliseret indtjening</t>
  </si>
  <si>
    <t>Multipel værdiansættelse</t>
  </si>
  <si>
    <t>Antal aktier</t>
  </si>
  <si>
    <t>Teoretisk værdi pr. aktie</t>
  </si>
  <si>
    <t>Gennemsnit/Markedsniveau for peer gruppen</t>
  </si>
  <si>
    <t>Kilde: Nordnet</t>
  </si>
  <si>
    <t>Omsætning</t>
  </si>
  <si>
    <t>Årlig vækst</t>
  </si>
  <si>
    <t>DSV</t>
  </si>
  <si>
    <t>Omsætning, mio</t>
  </si>
  <si>
    <t>-</t>
  </si>
  <si>
    <t>Date</t>
  </si>
  <si>
    <t>Adj Close**</t>
  </si>
  <si>
    <t>Mar 31, 2024</t>
  </si>
  <si>
    <t>Mar 24, 2024</t>
  </si>
  <si>
    <t>Mar 17, 2024</t>
  </si>
  <si>
    <t>Mar 10, 2024</t>
  </si>
  <si>
    <t>Mar 03, 2024</t>
  </si>
  <si>
    <t>Feb 25, 2024</t>
  </si>
  <si>
    <t>Feb 18, 2024</t>
  </si>
  <si>
    <t>Feb 11, 2024</t>
  </si>
  <si>
    <t>Feb 04, 2024</t>
  </si>
  <si>
    <t>Jan 28, 2024</t>
  </si>
  <si>
    <t>Jan 21, 2024</t>
  </si>
  <si>
    <t>Jan 14, 2024</t>
  </si>
  <si>
    <t>Jan 07, 2024</t>
  </si>
  <si>
    <t>Dec 31, 2023</t>
  </si>
  <si>
    <t>Dec 24, 2023</t>
  </si>
  <si>
    <t>Dec 17, 2023</t>
  </si>
  <si>
    <t>Dec 10, 2023</t>
  </si>
  <si>
    <t>Dec 03, 2023</t>
  </si>
  <si>
    <t>Nov 26, 2023</t>
  </si>
  <si>
    <t>Nov 19, 2023</t>
  </si>
  <si>
    <t>Nov 12, 2023</t>
  </si>
  <si>
    <t>Nov 05, 2023</t>
  </si>
  <si>
    <t>Oct 29, 2023</t>
  </si>
  <si>
    <t>Oct 22, 2023</t>
  </si>
  <si>
    <t>Oct 15, 2023</t>
  </si>
  <si>
    <t>Oct 08, 2023</t>
  </si>
  <si>
    <t>Oct 01, 2023</t>
  </si>
  <si>
    <t>Sep 24, 2023</t>
  </si>
  <si>
    <t>Sep 17, 2023</t>
  </si>
  <si>
    <t>Sep 10, 2023</t>
  </si>
  <si>
    <t>Sep 03, 2023</t>
  </si>
  <si>
    <t>Aug 27, 2023</t>
  </si>
  <si>
    <t>Aug 20, 2023</t>
  </si>
  <si>
    <t>Aug 13, 2023</t>
  </si>
  <si>
    <t>Aug 06, 2023</t>
  </si>
  <si>
    <t>Jul 30, 2023</t>
  </si>
  <si>
    <t>Jul 23, 2023</t>
  </si>
  <si>
    <t>Jul 16, 2023</t>
  </si>
  <si>
    <t>Jul 09, 2023</t>
  </si>
  <si>
    <t>Jul 02, 2023</t>
  </si>
  <si>
    <t>Jun 25, 2023</t>
  </si>
  <si>
    <t>Jun 18, 2023</t>
  </si>
  <si>
    <t>Jun 11, 2023</t>
  </si>
  <si>
    <t>Jun 04, 2023</t>
  </si>
  <si>
    <t>May 28, 2023</t>
  </si>
  <si>
    <t>May 21, 2023</t>
  </si>
  <si>
    <t>May 14, 2023</t>
  </si>
  <si>
    <t>May 07, 2023</t>
  </si>
  <si>
    <t>Apr 30, 2023</t>
  </si>
  <si>
    <t>Apr 23, 2023</t>
  </si>
  <si>
    <t>Apr 16, 2023</t>
  </si>
  <si>
    <t>Apr 09, 2023</t>
  </si>
  <si>
    <t>Apr 02, 2023</t>
  </si>
  <si>
    <t>Mar 26, 2023</t>
  </si>
  <si>
    <t>Mar 19, 2023</t>
  </si>
  <si>
    <t>Mar 12, 2023</t>
  </si>
  <si>
    <t>Mar 05, 2023</t>
  </si>
  <si>
    <t>Feb 26, 2023</t>
  </si>
  <si>
    <t>Feb 19, 2023</t>
  </si>
  <si>
    <t>Feb 12, 2023</t>
  </si>
  <si>
    <t>Feb 05, 2023</t>
  </si>
  <si>
    <t>Jan 29, 2023</t>
  </si>
  <si>
    <t>Jan 22, 2023</t>
  </si>
  <si>
    <t>Jan 15, 2023</t>
  </si>
  <si>
    <t>Jan 08, 2023</t>
  </si>
  <si>
    <t>Jan 01, 2023</t>
  </si>
  <si>
    <t>Dec 25, 2022</t>
  </si>
  <si>
    <t>Dec 18, 2022</t>
  </si>
  <si>
    <t>Dec 11, 2022</t>
  </si>
  <si>
    <t>Dec 04, 2022</t>
  </si>
  <si>
    <t>Nov 27, 2022</t>
  </si>
  <si>
    <t>Nov 20, 2022</t>
  </si>
  <si>
    <t>Nov 13, 2022</t>
  </si>
  <si>
    <t>Nov 06, 2022</t>
  </si>
  <si>
    <t>Oct 30, 2022</t>
  </si>
  <si>
    <t>Oct 23, 2022</t>
  </si>
  <si>
    <t>Oct 16, 2022</t>
  </si>
  <si>
    <t>Oct 09, 2022</t>
  </si>
  <si>
    <t>Oct 02, 2022</t>
  </si>
  <si>
    <t>Sep 25, 2022</t>
  </si>
  <si>
    <t>Sep 18, 2022</t>
  </si>
  <si>
    <t>Sep 11, 2022</t>
  </si>
  <si>
    <t>Sep 04, 2022</t>
  </si>
  <si>
    <t>Aug 28, 2022</t>
  </si>
  <si>
    <t>Aug 21, 2022</t>
  </si>
  <si>
    <t>Aug 14, 2022</t>
  </si>
  <si>
    <t>Aug 07, 2022</t>
  </si>
  <si>
    <t>Jul 31, 2022</t>
  </si>
  <si>
    <t>Jul 24, 2022</t>
  </si>
  <si>
    <t>Jul 17, 2022</t>
  </si>
  <si>
    <t>Jul 10, 2022</t>
  </si>
  <si>
    <t>Jul 03, 2022</t>
  </si>
  <si>
    <t>Jun 26, 2022</t>
  </si>
  <si>
    <t>Jun 19, 2022</t>
  </si>
  <si>
    <t>Jun 12, 2022</t>
  </si>
  <si>
    <t>Jun 05, 2022</t>
  </si>
  <si>
    <t>May 29, 2022</t>
  </si>
  <si>
    <t>May 22, 2022</t>
  </si>
  <si>
    <t>May 15, 2022</t>
  </si>
  <si>
    <t>May 08, 2022</t>
  </si>
  <si>
    <t>May 01, 2022</t>
  </si>
  <si>
    <t>Apr 24, 2022</t>
  </si>
  <si>
    <t>Apr 17, 2022</t>
  </si>
  <si>
    <t>Apr 10, 2022</t>
  </si>
  <si>
    <t>Apr 03, 2022</t>
  </si>
  <si>
    <t>Mar 27, 2022</t>
  </si>
  <si>
    <t>Mar 20, 2022</t>
  </si>
  <si>
    <t>Mar 13, 2022</t>
  </si>
  <si>
    <t>Mar 06, 2022</t>
  </si>
  <si>
    <t>Feb 27, 2022</t>
  </si>
  <si>
    <t>Feb 20, 2022</t>
  </si>
  <si>
    <t>Feb 13, 2022</t>
  </si>
  <si>
    <t>Feb 06, 2022</t>
  </si>
  <si>
    <t>Jan 30, 2022</t>
  </si>
  <si>
    <t>Jan 23, 2022</t>
  </si>
  <si>
    <t>Jan 16, 2022</t>
  </si>
  <si>
    <t>Jan 09, 2022</t>
  </si>
  <si>
    <t>Jan 02, 2022</t>
  </si>
  <si>
    <t>Dec 26, 2021</t>
  </si>
  <si>
    <t>Dec 19, 2021</t>
  </si>
  <si>
    <t>Dec 12, 2021</t>
  </si>
  <si>
    <t>Dec 05, 2021</t>
  </si>
  <si>
    <t>Nov 28, 2021</t>
  </si>
  <si>
    <t>Nov 21, 2021</t>
  </si>
  <si>
    <t>Nov 14, 2021</t>
  </si>
  <si>
    <t>Nov 07, 2021</t>
  </si>
  <si>
    <t>Oct 31, 2021</t>
  </si>
  <si>
    <t>Oct 24, 2021</t>
  </si>
  <si>
    <t>Oct 17, 2021</t>
  </si>
  <si>
    <t>Oct 10, 2021</t>
  </si>
  <si>
    <t>Oct 03, 2021</t>
  </si>
  <si>
    <t>Sep 26, 2021</t>
  </si>
  <si>
    <t>Sep 19, 2021</t>
  </si>
  <si>
    <t>Sep 12, 2021</t>
  </si>
  <si>
    <t>Sep 05, 2021</t>
  </si>
  <si>
    <t>Aug 29, 2021</t>
  </si>
  <si>
    <t>Aug 22, 2021</t>
  </si>
  <si>
    <t>Aug 15, 2021</t>
  </si>
  <si>
    <t>Aug 08, 2021</t>
  </si>
  <si>
    <t>Aug 01, 2021</t>
  </si>
  <si>
    <t>Jul 25, 2021</t>
  </si>
  <si>
    <t>Jul 18, 2021</t>
  </si>
  <si>
    <t>Jul 11, 2021</t>
  </si>
  <si>
    <t>Jul 04, 2021</t>
  </si>
  <si>
    <t>Jun 27, 2021</t>
  </si>
  <si>
    <t>Jun 20, 2021</t>
  </si>
  <si>
    <t>Jun 13, 2021</t>
  </si>
  <si>
    <t>Jun 06, 2021</t>
  </si>
  <si>
    <t>May 30, 2021</t>
  </si>
  <si>
    <t>May 23, 2021</t>
  </si>
  <si>
    <t>May 16, 2021</t>
  </si>
  <si>
    <t>May 09, 2021</t>
  </si>
  <si>
    <t>May 02, 2021</t>
  </si>
  <si>
    <t>Apr 25, 2021</t>
  </si>
  <si>
    <t>Apr 18, 2021</t>
  </si>
  <si>
    <t>Apr 11, 2021</t>
  </si>
  <si>
    <t>Apr 04, 2021</t>
  </si>
  <si>
    <t>Mar 28, 2021</t>
  </si>
  <si>
    <t>Mar 21, 2021</t>
  </si>
  <si>
    <t>Mar 14, 2021</t>
  </si>
  <si>
    <t>Mar 07, 2021</t>
  </si>
  <si>
    <t>Feb 28, 2021</t>
  </si>
  <si>
    <t>Feb 21, 2021</t>
  </si>
  <si>
    <t>Feb 14, 2021</t>
  </si>
  <si>
    <t>Feb 07, 2021</t>
  </si>
  <si>
    <t>Jan 31, 2021</t>
  </si>
  <si>
    <t>Jan 24, 2021</t>
  </si>
  <si>
    <t>Jan 17, 2021</t>
  </si>
  <si>
    <t>Jan 10, 2021</t>
  </si>
  <si>
    <t>Jan 03, 2021</t>
  </si>
  <si>
    <t>Dec 27, 2020</t>
  </si>
  <si>
    <t>Dec 20, 2020</t>
  </si>
  <si>
    <t>Dec 13, 2020</t>
  </si>
  <si>
    <t>Dec 06, 2020</t>
  </si>
  <si>
    <t>Nov 29, 2020</t>
  </si>
  <si>
    <t>Nov 22, 2020</t>
  </si>
  <si>
    <t>Nov 15, 2020</t>
  </si>
  <si>
    <t>Nov 08, 2020</t>
  </si>
  <si>
    <t>Nov 01, 2020</t>
  </si>
  <si>
    <t>Oct 25, 2020</t>
  </si>
  <si>
    <t>Oct 18, 2020</t>
  </si>
  <si>
    <t>Oct 11, 2020</t>
  </si>
  <si>
    <t>Oct 04, 2020</t>
  </si>
  <si>
    <t>Sep 27, 2020</t>
  </si>
  <si>
    <t>Sep 20, 2020</t>
  </si>
  <si>
    <t>Sep 13, 2020</t>
  </si>
  <si>
    <t>Sep 06, 2020</t>
  </si>
  <si>
    <t>Aug 30, 2020</t>
  </si>
  <si>
    <t>Aug 23, 2020</t>
  </si>
  <si>
    <t>Aug 16, 2020</t>
  </si>
  <si>
    <t>Aug 09, 2020</t>
  </si>
  <si>
    <t>Aug 02, 2020</t>
  </si>
  <si>
    <t>Jul 26, 2020</t>
  </si>
  <si>
    <t>Jul 19, 2020</t>
  </si>
  <si>
    <t>Jul 12, 2020</t>
  </si>
  <si>
    <t>Jul 05, 2020</t>
  </si>
  <si>
    <t>Jun 28, 2020</t>
  </si>
  <si>
    <t>Jun 21, 2020</t>
  </si>
  <si>
    <t>Jun 14, 2020</t>
  </si>
  <si>
    <t>Jun 07, 2020</t>
  </si>
  <si>
    <t>May 31, 2020</t>
  </si>
  <si>
    <t>May 24, 2020</t>
  </si>
  <si>
    <t>May 17, 2020</t>
  </si>
  <si>
    <t>May 10, 2020</t>
  </si>
  <si>
    <t>May 03, 2020</t>
  </si>
  <si>
    <t>Apr 26, 2020</t>
  </si>
  <si>
    <t>Apr 19, 2020</t>
  </si>
  <si>
    <t>Apr 12, 2020</t>
  </si>
  <si>
    <t>Apr 05, 2020</t>
  </si>
  <si>
    <t>Mar 29, 2020</t>
  </si>
  <si>
    <t>Mar 22, 2020</t>
  </si>
  <si>
    <t>Mar 15, 2020</t>
  </si>
  <si>
    <t>Mar 08, 2020</t>
  </si>
  <si>
    <t>Mar 01, 2020</t>
  </si>
  <si>
    <t>Feb 23, 2020</t>
  </si>
  <si>
    <t>Feb 16, 2020</t>
  </si>
  <si>
    <t>Feb 09, 2020</t>
  </si>
  <si>
    <t>Feb 02, 2020</t>
  </si>
  <si>
    <t>Jan 26, 2020</t>
  </si>
  <si>
    <t>Jan 19, 2020</t>
  </si>
  <si>
    <t>Jan 12, 2020</t>
  </si>
  <si>
    <t>Jan 05, 2020</t>
  </si>
  <si>
    <t>Dec 29, 2019</t>
  </si>
  <si>
    <t>Dec 22, 2019</t>
  </si>
  <si>
    <t>Dec 15, 2019</t>
  </si>
  <si>
    <t>Dec 08, 2019</t>
  </si>
  <si>
    <t>Dec 01, 2019</t>
  </si>
  <si>
    <t>Nov 24, 2019</t>
  </si>
  <si>
    <t>Nov 17, 2019</t>
  </si>
  <si>
    <t>Nov 10, 2019</t>
  </si>
  <si>
    <t>Nov 03, 2019</t>
  </si>
  <si>
    <t>Oct 27, 2019</t>
  </si>
  <si>
    <t>Oct 20, 2019</t>
  </si>
  <si>
    <t>Oct 13, 2019</t>
  </si>
  <si>
    <t>Oct 06, 2019</t>
  </si>
  <si>
    <t>Sep 29, 2019</t>
  </si>
  <si>
    <t>Sep 22, 2019</t>
  </si>
  <si>
    <t>Sep 15, 2019</t>
  </si>
  <si>
    <t>Sep 08, 2019</t>
  </si>
  <si>
    <t>Sep 01, 2019</t>
  </si>
  <si>
    <t>Aug 25, 2019</t>
  </si>
  <si>
    <t>Aug 18, 2019</t>
  </si>
  <si>
    <t>Aug 11, 2019</t>
  </si>
  <si>
    <t>Aug 04, 2019</t>
  </si>
  <si>
    <t>Jul 28, 2019</t>
  </si>
  <si>
    <t>Jul 21, 2019</t>
  </si>
  <si>
    <t>Jul 14, 2019</t>
  </si>
  <si>
    <t>Jul 07, 2019</t>
  </si>
  <si>
    <t>Jun 30, 2019</t>
  </si>
  <si>
    <t>Jun 23, 2019</t>
  </si>
  <si>
    <t>Jun 16, 2019</t>
  </si>
  <si>
    <t>Jun 09, 2019</t>
  </si>
  <si>
    <t>Jun 02, 2019</t>
  </si>
  <si>
    <t>May 26, 2019</t>
  </si>
  <si>
    <t>May 19, 2019</t>
  </si>
  <si>
    <t>May 12, 2019</t>
  </si>
  <si>
    <t>May 05, 2019</t>
  </si>
  <si>
    <t>Apr 28, 2019</t>
  </si>
  <si>
    <t>Apr 21, 2019</t>
  </si>
  <si>
    <t>Apr 14, 2019</t>
  </si>
  <si>
    <t>Apr 07, 2019</t>
  </si>
  <si>
    <t>*Close price adjusted for splits.**Adjusted close price adjusted for splits and dividend and/or capital gain distributions.</t>
  </si>
  <si>
    <t>https://www.infrontanalytics.com/fe-EN/30184SD/DSV-A-S/Beta</t>
  </si>
  <si>
    <t xml:space="preserve">Alle dataerne er fra: </t>
  </si>
  <si>
    <t>https://finance.yahoo.com/quote/DSV.CO/history</t>
  </si>
  <si>
    <t>https://finance.yahoo.com/quote/%5EOMXC25?.tsrc=fin-srch</t>
  </si>
  <si>
    <t>https://www.youtube.com/watch?v=lSv-WAPIVFM</t>
  </si>
  <si>
    <t>Apr 01, 2024</t>
  </si>
  <si>
    <t>Mar 25, 2024</t>
  </si>
  <si>
    <t>Mar 18, 2024</t>
  </si>
  <si>
    <t>Mar 11, 2024</t>
  </si>
  <si>
    <t>Mar 04, 2024</t>
  </si>
  <si>
    <t>Feb 26, 2024</t>
  </si>
  <si>
    <t>Feb 19, 2024</t>
  </si>
  <si>
    <t>Feb 12, 2024</t>
  </si>
  <si>
    <t>Feb 05, 2024</t>
  </si>
  <si>
    <t>Jan 29, 2024</t>
  </si>
  <si>
    <t>Jan 22, 2024</t>
  </si>
  <si>
    <t>Jan 15, 2024</t>
  </si>
  <si>
    <t>Jan 08, 2024</t>
  </si>
  <si>
    <t>Jan 01, 2024</t>
  </si>
  <si>
    <t>Dec 25, 2023</t>
  </si>
  <si>
    <t>Dec 18, 2023</t>
  </si>
  <si>
    <t>Dec 11, 2023</t>
  </si>
  <si>
    <t>Dec 04, 2023</t>
  </si>
  <si>
    <t>Nov 27, 2023</t>
  </si>
  <si>
    <t>Nov 20, 2023</t>
  </si>
  <si>
    <t>Nov 13, 2023</t>
  </si>
  <si>
    <t>Nov 06, 2023</t>
  </si>
  <si>
    <t>Oct 30, 2023</t>
  </si>
  <si>
    <t>Oct 23, 2023</t>
  </si>
  <si>
    <t>Oct 16, 2023</t>
  </si>
  <si>
    <t>Oct 09, 2023</t>
  </si>
  <si>
    <t>Oct 02, 2023</t>
  </si>
  <si>
    <t>Sep 25, 2023</t>
  </si>
  <si>
    <t>Sep 18, 2023</t>
  </si>
  <si>
    <t>Sep 11, 2023</t>
  </si>
  <si>
    <t>Sep 04, 2023</t>
  </si>
  <si>
    <t>Aug 28, 2023</t>
  </si>
  <si>
    <t>Aug 21, 2023</t>
  </si>
  <si>
    <t>Aug 14, 2023</t>
  </si>
  <si>
    <t>Aug 07, 2023</t>
  </si>
  <si>
    <t>Jul 31, 2023</t>
  </si>
  <si>
    <t>Jul 24, 2023</t>
  </si>
  <si>
    <t>Jul 17, 2023</t>
  </si>
  <si>
    <t>Jul 10, 2023</t>
  </si>
  <si>
    <t>Jul 03, 2023</t>
  </si>
  <si>
    <t>Jun 26, 2023</t>
  </si>
  <si>
    <t>Jun 19, 2023</t>
  </si>
  <si>
    <t>Jun 12, 2023</t>
  </si>
  <si>
    <t>Jun 05, 2023</t>
  </si>
  <si>
    <t>May 29, 2023</t>
  </si>
  <si>
    <t>May 22, 2023</t>
  </si>
  <si>
    <t>May 15, 2023</t>
  </si>
  <si>
    <t>May 08, 2023</t>
  </si>
  <si>
    <t>May 01, 2023</t>
  </si>
  <si>
    <t>Apr 24, 2023</t>
  </si>
  <si>
    <t>Apr 17, 2023</t>
  </si>
  <si>
    <t>Apr 10, 2023</t>
  </si>
  <si>
    <t>Apr 03, 2023</t>
  </si>
  <si>
    <t>Mar 27, 2023</t>
  </si>
  <si>
    <t>Mar 20, 2023</t>
  </si>
  <si>
    <t>Mar 13, 2023</t>
  </si>
  <si>
    <t>Mar 06, 2023</t>
  </si>
  <si>
    <t>Feb 27, 2023</t>
  </si>
  <si>
    <t>Feb 20, 2023</t>
  </si>
  <si>
    <t>Feb 13, 2023</t>
  </si>
  <si>
    <t>Feb 06, 2023</t>
  </si>
  <si>
    <t>Jan 30, 2023</t>
  </si>
  <si>
    <t>Jan 23, 2023</t>
  </si>
  <si>
    <t>Jan 16, 2023</t>
  </si>
  <si>
    <t>Jan 09, 2023</t>
  </si>
  <si>
    <t>Jan 02, 2023</t>
  </si>
  <si>
    <t>Dec 26, 2022</t>
  </si>
  <si>
    <t>Dec 19, 2022</t>
  </si>
  <si>
    <t>Dec 12, 2022</t>
  </si>
  <si>
    <t>Dec 05, 2022</t>
  </si>
  <si>
    <t>Nov 28, 2022</t>
  </si>
  <si>
    <t>Nov 21, 2022</t>
  </si>
  <si>
    <t>Nov 14, 2022</t>
  </si>
  <si>
    <t>Nov 07, 2022</t>
  </si>
  <si>
    <t>Oct 31, 2022</t>
  </si>
  <si>
    <t>Oct 24, 2022</t>
  </si>
  <si>
    <t>Oct 17, 2022</t>
  </si>
  <si>
    <t>Oct 10, 2022</t>
  </si>
  <si>
    <t>Oct 03, 2022</t>
  </si>
  <si>
    <t>Sep 26, 2022</t>
  </si>
  <si>
    <t>Sep 19, 2022</t>
  </si>
  <si>
    <t>Sep 12, 2022</t>
  </si>
  <si>
    <t>Sep 05, 2022</t>
  </si>
  <si>
    <t>Aug 29, 2022</t>
  </si>
  <si>
    <t>Aug 22, 2022</t>
  </si>
  <si>
    <t>Aug 15, 2022</t>
  </si>
  <si>
    <t>Aug 08, 2022</t>
  </si>
  <si>
    <t>Aug 01, 2022</t>
  </si>
  <si>
    <t>Jul 25, 2022</t>
  </si>
  <si>
    <t>Jul 18, 2022</t>
  </si>
  <si>
    <t>Jul 11, 2022</t>
  </si>
  <si>
    <t>Jul 04, 2022</t>
  </si>
  <si>
    <t>Jun 27, 2022</t>
  </si>
  <si>
    <t>Jun 20, 2022</t>
  </si>
  <si>
    <t>Jun 13, 2022</t>
  </si>
  <si>
    <t>Jun 06, 2022</t>
  </si>
  <si>
    <t>May 30, 2022</t>
  </si>
  <si>
    <t>May 23, 2022</t>
  </si>
  <si>
    <t>May 16, 2022</t>
  </si>
  <si>
    <t>May 09, 2022</t>
  </si>
  <si>
    <t>May 02, 2022</t>
  </si>
  <si>
    <t>Apr 25, 2022</t>
  </si>
  <si>
    <t>Apr 18, 2022</t>
  </si>
  <si>
    <t>Apr 11, 2022</t>
  </si>
  <si>
    <t>Apr 04, 2022</t>
  </si>
  <si>
    <t>Mar 28, 2022</t>
  </si>
  <si>
    <t>Mar 21, 2022</t>
  </si>
  <si>
    <t>Mar 14, 2022</t>
  </si>
  <si>
    <t>Mar 07, 2022</t>
  </si>
  <si>
    <t>Feb 28, 2022</t>
  </si>
  <si>
    <t>Feb 21, 2022</t>
  </si>
  <si>
    <t>Feb 14, 2022</t>
  </si>
  <si>
    <t>Feb 07, 2022</t>
  </si>
  <si>
    <t>Jan 31, 2022</t>
  </si>
  <si>
    <t>Jan 24, 2022</t>
  </si>
  <si>
    <t>Jan 17, 2022</t>
  </si>
  <si>
    <t>Jan 10, 2022</t>
  </si>
  <si>
    <t>Jan 03, 2022</t>
  </si>
  <si>
    <t>Dec 27, 2021</t>
  </si>
  <si>
    <t>Dec 20, 2021</t>
  </si>
  <si>
    <t>Dec 13, 2021</t>
  </si>
  <si>
    <t>Dec 06, 2021</t>
  </si>
  <si>
    <t>Nov 29, 2021</t>
  </si>
  <si>
    <t>Nov 22, 2021</t>
  </si>
  <si>
    <t>Nov 15, 2021</t>
  </si>
  <si>
    <t>Nov 08, 2021</t>
  </si>
  <si>
    <t>Nov 01, 2021</t>
  </si>
  <si>
    <t>Oct 25, 2021</t>
  </si>
  <si>
    <t>Oct 18, 2021</t>
  </si>
  <si>
    <t>Oct 11, 2021</t>
  </si>
  <si>
    <t>Oct 04, 2021</t>
  </si>
  <si>
    <t>Sep 27, 2021</t>
  </si>
  <si>
    <t>Sep 20, 2021</t>
  </si>
  <si>
    <t>Sep 13, 2021</t>
  </si>
  <si>
    <t>Sep 06, 2021</t>
  </si>
  <si>
    <t>Aug 30, 2021</t>
  </si>
  <si>
    <t>Aug 23, 2021</t>
  </si>
  <si>
    <t>Aug 16, 2021</t>
  </si>
  <si>
    <t>Aug 09, 2021</t>
  </si>
  <si>
    <t>Aug 02, 2021</t>
  </si>
  <si>
    <t>Jul 26, 2021</t>
  </si>
  <si>
    <t>Jul 19, 2021</t>
  </si>
  <si>
    <t>Jul 12, 2021</t>
  </si>
  <si>
    <t>Jul 05, 2021</t>
  </si>
  <si>
    <t>Jun 28, 2021</t>
  </si>
  <si>
    <t>Jun 21, 2021</t>
  </si>
  <si>
    <t>Jun 14, 2021</t>
  </si>
  <si>
    <t>Jun 07, 2021</t>
  </si>
  <si>
    <t>May 31, 2021</t>
  </si>
  <si>
    <t>May 24, 2021</t>
  </si>
  <si>
    <t>May 17, 2021</t>
  </si>
  <si>
    <t>May 10, 2021</t>
  </si>
  <si>
    <t>May 03, 2021</t>
  </si>
  <si>
    <t>Apr 26, 2021</t>
  </si>
  <si>
    <t>Apr 19, 2021</t>
  </si>
  <si>
    <t>Apr 12, 2021</t>
  </si>
  <si>
    <t>Apr 05, 2021</t>
  </si>
  <si>
    <t>Mar 29, 2021</t>
  </si>
  <si>
    <t>Mar 22, 2021</t>
  </si>
  <si>
    <t>Mar 15, 2021</t>
  </si>
  <si>
    <t>Mar 08, 2021</t>
  </si>
  <si>
    <t>Mar 01, 2021</t>
  </si>
  <si>
    <t>Feb 22, 2021</t>
  </si>
  <si>
    <t>Feb 15, 2021</t>
  </si>
  <si>
    <t>Feb 08, 2021</t>
  </si>
  <si>
    <t>Feb 01, 2021</t>
  </si>
  <si>
    <t>Jan 25, 2021</t>
  </si>
  <si>
    <t>Jan 18, 2021</t>
  </si>
  <si>
    <t>Jan 11, 2021</t>
  </si>
  <si>
    <t>Jan 04, 2021</t>
  </si>
  <si>
    <t>Dec 28, 2020</t>
  </si>
  <si>
    <t>Dec 21, 2020</t>
  </si>
  <si>
    <t>Dec 14, 2020</t>
  </si>
  <si>
    <t>Dec 07, 2020</t>
  </si>
  <si>
    <t>Nov 30, 2020</t>
  </si>
  <si>
    <t>Nov 23, 2020</t>
  </si>
  <si>
    <t>Nov 16, 2020</t>
  </si>
  <si>
    <t>Nov 09, 2020</t>
  </si>
  <si>
    <t>Nov 02, 2020</t>
  </si>
  <si>
    <t>Oct 26, 2020</t>
  </si>
  <si>
    <t>Oct 19, 2020</t>
  </si>
  <si>
    <t>Oct 12, 2020</t>
  </si>
  <si>
    <t>Oct 05, 2020</t>
  </si>
  <si>
    <t>Sep 28, 2020</t>
  </si>
  <si>
    <t>Sep 21, 2020</t>
  </si>
  <si>
    <t>Sep 14, 2020</t>
  </si>
  <si>
    <t>Sep 07, 2020</t>
  </si>
  <si>
    <t>Aug 31, 2020</t>
  </si>
  <si>
    <t>Aug 24, 2020</t>
  </si>
  <si>
    <t>Aug 17, 2020</t>
  </si>
  <si>
    <t>Aug 10, 2020</t>
  </si>
  <si>
    <t>Aug 03, 2020</t>
  </si>
  <si>
    <t>Jul 27, 2020</t>
  </si>
  <si>
    <t>Jul 20, 2020</t>
  </si>
  <si>
    <t>Jul 13, 2020</t>
  </si>
  <si>
    <t>Jul 06, 2020</t>
  </si>
  <si>
    <t>Jun 29, 2020</t>
  </si>
  <si>
    <t>Jun 22, 2020</t>
  </si>
  <si>
    <t>Jun 15, 2020</t>
  </si>
  <si>
    <t>Jun 08, 2020</t>
  </si>
  <si>
    <t>Jun 01, 2020</t>
  </si>
  <si>
    <t>May 25, 2020</t>
  </si>
  <si>
    <t>May 18, 2020</t>
  </si>
  <si>
    <t>May 11, 2020</t>
  </si>
  <si>
    <t>May 04, 2020</t>
  </si>
  <si>
    <t>Apr 27, 2020</t>
  </si>
  <si>
    <t>Apr 20, 2020</t>
  </si>
  <si>
    <t>Apr 13, 2020</t>
  </si>
  <si>
    <t>Apr 06, 2020</t>
  </si>
  <si>
    <t>Mar 30, 2020</t>
  </si>
  <si>
    <t>Mar 23, 2020</t>
  </si>
  <si>
    <t>Mar 16, 2020</t>
  </si>
  <si>
    <t>Mar 09, 2020</t>
  </si>
  <si>
    <t>Mar 02, 2020</t>
  </si>
  <si>
    <t>Feb 24, 2020</t>
  </si>
  <si>
    <t>Feb 17, 2020</t>
  </si>
  <si>
    <t>Feb 10, 2020</t>
  </si>
  <si>
    <t>Feb 03, 2020</t>
  </si>
  <si>
    <t>Jan 27, 2020</t>
  </si>
  <si>
    <t>Jan 20, 2020</t>
  </si>
  <si>
    <t>Jan 13, 2020</t>
  </si>
  <si>
    <t>Jan 06, 2020</t>
  </si>
  <si>
    <t>Dec 30, 2019</t>
  </si>
  <si>
    <t>Dec 23, 2019</t>
  </si>
  <si>
    <t>Dec 16, 2019</t>
  </si>
  <si>
    <t>Dec 09, 2019</t>
  </si>
  <si>
    <t>Dec 02, 2019</t>
  </si>
  <si>
    <t>Nov 25, 2019</t>
  </si>
  <si>
    <t>Nov 18, 2019</t>
  </si>
  <si>
    <t>Nov 11, 2019</t>
  </si>
  <si>
    <t>Nov 04, 2019</t>
  </si>
  <si>
    <t>Oct 28, 2019</t>
  </si>
  <si>
    <t>Oct 21, 2019</t>
  </si>
  <si>
    <t>Oct 14, 2019</t>
  </si>
  <si>
    <t>Oct 07, 2019</t>
  </si>
  <si>
    <t>Sep 30, 2019</t>
  </si>
  <si>
    <t>Sep 23, 2019</t>
  </si>
  <si>
    <t>Sep 16, 2019</t>
  </si>
  <si>
    <t>Sep 09, 2019</t>
  </si>
  <si>
    <t>Sep 02, 2019</t>
  </si>
  <si>
    <t>Aug 26, 2019</t>
  </si>
  <si>
    <t>Aug 19, 2019</t>
  </si>
  <si>
    <t>Aug 12, 2019</t>
  </si>
  <si>
    <t>Aug 05, 2019</t>
  </si>
  <si>
    <t>Jul 29, 2019</t>
  </si>
  <si>
    <t>Jul 22, 2019</t>
  </si>
  <si>
    <t>Jul 15, 2019</t>
  </si>
  <si>
    <t>Jul 08, 2019</t>
  </si>
  <si>
    <t>Jul 01, 2019</t>
  </si>
  <si>
    <t>Jun 24, 2019</t>
  </si>
  <si>
    <t>Jun 17, 2019</t>
  </si>
  <si>
    <t>Jun 10, 2019</t>
  </si>
  <si>
    <t>Jun 03, 2019</t>
  </si>
  <si>
    <t>May 27, 2019</t>
  </si>
  <si>
    <t>May 20, 2019</t>
  </si>
  <si>
    <t>May 13, 2019</t>
  </si>
  <si>
    <t>May 06, 2019</t>
  </si>
  <si>
    <t>Apr 29, 2019</t>
  </si>
  <si>
    <t>Apr 22, 2019</t>
  </si>
  <si>
    <t>Apr 15, 2019</t>
  </si>
  <si>
    <t>Apr 08, 2019</t>
  </si>
  <si>
    <t>Returns - OMXC25</t>
  </si>
  <si>
    <t>Returns - DSV</t>
  </si>
  <si>
    <t>Beregnet betaværdi</t>
  </si>
  <si>
    <t>Infrontanalytics</t>
  </si>
  <si>
    <t>Betaværdier - DSV</t>
  </si>
  <si>
    <t>Kilde: https://investor.dsv.com/static-files/5d7f9ee9-2084-4143-b42a-6b85fd5ebfc1 &amp; bilag 1</t>
  </si>
  <si>
    <t>Historisk omsætning</t>
  </si>
  <si>
    <t>https://www.macrotrends.net/global-metrics/countries/WLD/world/gdp-growth-rate</t>
  </si>
  <si>
    <t>World Average Annual GDP Growth</t>
  </si>
  <si>
    <t>Forventet omsætning - Konsensus</t>
  </si>
  <si>
    <t>Historisk vækst</t>
  </si>
  <si>
    <t>DKKm</t>
  </si>
  <si>
    <t>Revenue</t>
  </si>
  <si>
    <t>Direct costs</t>
  </si>
  <si>
    <t>Gross profit</t>
  </si>
  <si>
    <t>Other external expenses</t>
  </si>
  <si>
    <t>Staff costs</t>
  </si>
  <si>
    <t>Amortisation and depreciation</t>
  </si>
  <si>
    <t>Ebit</t>
  </si>
  <si>
    <t>Special items</t>
  </si>
  <si>
    <t>EBIT</t>
  </si>
  <si>
    <t>Udgør af omkostninger i %</t>
  </si>
  <si>
    <t>Omkostninger i i alt, mio.</t>
  </si>
  <si>
    <t>Årstal</t>
  </si>
  <si>
    <t>Ebit-margin</t>
  </si>
  <si>
    <t>Kilde: DSV's Annual reports</t>
  </si>
  <si>
    <t>Growth</t>
  </si>
  <si>
    <t>Resultatopgørelse for 2019-2023 (mio)</t>
  </si>
  <si>
    <t>Prognose for resultatopgørelse for 2024-28 (mio)</t>
  </si>
  <si>
    <t>EBIT - Marginen</t>
  </si>
  <si>
    <t>Costs (omkostninger)</t>
  </si>
  <si>
    <t>Omkostninger og EBIT i prognosen</t>
  </si>
  <si>
    <t>Effective tax rate</t>
  </si>
  <si>
    <t>Tax Rate</t>
  </si>
  <si>
    <t>Cash Earnings</t>
  </si>
  <si>
    <t>Kilde: https://investor.dsv.com/static-files/3d518d63-393c-4a05-8ea5-54b4414f10da</t>
  </si>
  <si>
    <t>BALANCE SHEET,  ASSETS</t>
  </si>
  <si>
    <t>Right-of-use assets</t>
  </si>
  <si>
    <t>Other receivables</t>
  </si>
  <si>
    <t>Deferred tax assets</t>
  </si>
  <si>
    <t>Total non-current assets</t>
  </si>
  <si>
    <t>Trade receivables</t>
  </si>
  <si>
    <t>Contract assets</t>
  </si>
  <si>
    <t>Inventories</t>
  </si>
  <si>
    <t>Cash and cash equivalents</t>
  </si>
  <si>
    <t>Assets held for sale</t>
  </si>
  <si>
    <t>Total current assets</t>
  </si>
  <si>
    <t>Total assets</t>
  </si>
  <si>
    <t>BALANCE SHEET, EQUITY AND LIABILITES</t>
  </si>
  <si>
    <t>Share capital</t>
  </si>
  <si>
    <t>DSV A/S shareholders' share of equity</t>
  </si>
  <si>
    <t>Non-controlling interests</t>
  </si>
  <si>
    <t>Total equity</t>
  </si>
  <si>
    <t>Pensions and similar obligations</t>
  </si>
  <si>
    <t>Provisions</t>
  </si>
  <si>
    <t>Lease liabilities</t>
  </si>
  <si>
    <t>Total non-current liabilities</t>
  </si>
  <si>
    <t>Trade payables</t>
  </si>
  <si>
    <t>Accrued cost of services</t>
  </si>
  <si>
    <t>Other payables</t>
  </si>
  <si>
    <t>Total current liabilities</t>
  </si>
  <si>
    <t>Total liabilities</t>
  </si>
  <si>
    <t>Total equity and liabilities</t>
  </si>
  <si>
    <t>Net Working Capital</t>
  </si>
  <si>
    <t>(DKKm)</t>
  </si>
  <si>
    <t>2020</t>
  </si>
  <si>
    <t>2021</t>
  </si>
  <si>
    <t>Intangibles assets</t>
  </si>
  <si>
    <t>Property, plant and equipment</t>
  </si>
  <si>
    <t>Reserves and retained earnings</t>
  </si>
  <si>
    <t>Borrowings</t>
  </si>
  <si>
    <t>Deferred tax liabilities</t>
  </si>
  <si>
    <t>Tax payables</t>
  </si>
  <si>
    <t>Kilde: DSV Annual reports</t>
  </si>
  <si>
    <t>Andel af omsætning i %</t>
  </si>
  <si>
    <t>Assets</t>
  </si>
  <si>
    <t>Equity and liabilities</t>
  </si>
  <si>
    <t>2024</t>
  </si>
  <si>
    <t>2027</t>
  </si>
  <si>
    <t>Change in NWC</t>
  </si>
  <si>
    <t>Cash flow from operating activities</t>
  </si>
  <si>
    <t>Investeringer</t>
  </si>
  <si>
    <t>Cashflow from expenditures</t>
  </si>
  <si>
    <t>Cashflow from investing activities</t>
  </si>
  <si>
    <t>%-andel af omsætningen</t>
  </si>
  <si>
    <t>Gennemsnit 5 år</t>
  </si>
  <si>
    <t>Fremtidigt Free cash flow</t>
  </si>
  <si>
    <t>Prognost for resultat opgørelse &amp; Fremtidigt free cash flow (2024-2028)</t>
  </si>
  <si>
    <t>WACC</t>
  </si>
  <si>
    <t>=</t>
  </si>
  <si>
    <t>E</t>
  </si>
  <si>
    <t>V</t>
  </si>
  <si>
    <t>EKF</t>
  </si>
  <si>
    <t>*</t>
  </si>
  <si>
    <t>+</t>
  </si>
  <si>
    <t>Gæld</t>
  </si>
  <si>
    <t>GR</t>
  </si>
  <si>
    <t>(</t>
  </si>
  <si>
    <t>(1-skat)</t>
  </si>
  <si>
    <t>Aktiekurs d. 9 april</t>
  </si>
  <si>
    <t>Egenkapitelens værdi udgøre</t>
  </si>
  <si>
    <t>I mio</t>
  </si>
  <si>
    <t>DSV EGENKAPITAL</t>
  </si>
  <si>
    <t>Kilde: Annual report 2023</t>
  </si>
  <si>
    <t>DSV GÆLD</t>
  </si>
  <si>
    <t>Nettorentebærendegæld</t>
  </si>
  <si>
    <t>Beregning af forventede afkast ud fra CAPM:</t>
  </si>
  <si>
    <t>R</t>
  </si>
  <si>
    <r>
      <t>R</t>
    </r>
    <r>
      <rPr>
        <vertAlign val="subscript"/>
        <sz val="20"/>
        <color theme="1"/>
        <rFont val="Aptos Narrow"/>
        <family val="2"/>
        <scheme val="minor"/>
      </rPr>
      <t>m</t>
    </r>
  </si>
  <si>
    <r>
      <t>R</t>
    </r>
    <r>
      <rPr>
        <vertAlign val="subscript"/>
        <sz val="20"/>
        <color theme="1"/>
        <rFont val="Aptos Narrow"/>
        <family val="2"/>
        <scheme val="minor"/>
      </rPr>
      <t>f</t>
    </r>
  </si>
  <si>
    <t>)</t>
  </si>
  <si>
    <t>β</t>
  </si>
  <si>
    <t>(1-0,22)</t>
  </si>
  <si>
    <t>Net finansial expenses</t>
  </si>
  <si>
    <t>Gældsrente</t>
  </si>
  <si>
    <t xml:space="preserve">WACC </t>
  </si>
  <si>
    <t>wacc</t>
  </si>
  <si>
    <t xml:space="preserve">eller </t>
  </si>
  <si>
    <t>DKK mio.</t>
  </si>
  <si>
    <t>Free Cash Flow</t>
  </si>
  <si>
    <t>Diskonteringssats</t>
  </si>
  <si>
    <t>PV Future cash flow</t>
  </si>
  <si>
    <t>Kilder til denne side: DSV Annual reports, 2019, 2020, 2021, 2022, 2023</t>
  </si>
  <si>
    <t>i kr.</t>
  </si>
  <si>
    <t>I kr.</t>
  </si>
  <si>
    <t>DSV GÆLDSRENTE</t>
  </si>
  <si>
    <t>Terminal værdi</t>
  </si>
  <si>
    <t xml:space="preserve">Terminal vækst </t>
  </si>
  <si>
    <t>DSV Ebit-margin (forventet)</t>
  </si>
  <si>
    <t>DSV Ebit-margin (Historisk)</t>
  </si>
  <si>
    <t>World Average Annual GDP Grwoth</t>
  </si>
  <si>
    <t>Enterprice value i mio.</t>
  </si>
  <si>
    <t>E2024</t>
  </si>
  <si>
    <t>E2025</t>
  </si>
  <si>
    <t>E2026</t>
  </si>
  <si>
    <t>E2027</t>
  </si>
  <si>
    <t>E2028</t>
  </si>
  <si>
    <t>FØLSOMHEDANALYSE - WACC</t>
  </si>
  <si>
    <t>TEORETISK VÆRDI AF AKTIE</t>
  </si>
  <si>
    <t>INDEKSTAL</t>
  </si>
  <si>
    <t xml:space="preserve">Cash Flow </t>
  </si>
  <si>
    <t>Years</t>
  </si>
  <si>
    <t>Gennemsnitlig årlig investering</t>
  </si>
  <si>
    <t>Kilde: https://www.dr.dk/nyheder/penge/dansk-transportgigant-investerer-tocifret-milliardbeloeb-i-saudisk-fremtidsby</t>
  </si>
  <si>
    <t>Investering i mio. i NEOM-projektet</t>
  </si>
  <si>
    <t>2024-2031</t>
  </si>
  <si>
    <t>DSV X NEOM</t>
  </si>
  <si>
    <t>OPLYSNINGER</t>
  </si>
  <si>
    <t>Korrigeret</t>
  </si>
  <si>
    <t>Cashflow from investings</t>
  </si>
  <si>
    <t>DSV - CAPM</t>
  </si>
  <si>
    <t>DSV - WACC</t>
  </si>
  <si>
    <t>https://www.lev.co/blog/terminal-value-tv</t>
  </si>
  <si>
    <t>TERMINAL VALUE =</t>
  </si>
  <si>
    <t>TERMINAL VALUE MODEL (mio kr.)</t>
  </si>
  <si>
    <t>EBITDA</t>
  </si>
  <si>
    <t xml:space="preserve">EBIT </t>
  </si>
  <si>
    <t>EBIT BEFORE SPECIEL ITEMS</t>
  </si>
  <si>
    <t>EBIT BEFORE SPECIAEL ITEMS</t>
  </si>
  <si>
    <t>EBIT befoe special items</t>
  </si>
  <si>
    <t>Periode</t>
  </si>
  <si>
    <t>Value of equity i mio.</t>
  </si>
  <si>
    <t>Teoretisk værdi pr. aktie i kr.</t>
  </si>
  <si>
    <t>Antal af aktier i mio.</t>
  </si>
  <si>
    <t>Værdi af ikke dræftmæssige aktiver i mio.</t>
  </si>
  <si>
    <t>Nettorentebærende gæld i mio.</t>
  </si>
  <si>
    <t>FØLSOMHEDANALYSE - EBIT MARGIN</t>
  </si>
  <si>
    <t>FØLSOMHEDANALYSE - TERMINAL VÆKST</t>
  </si>
  <si>
    <t>TERMINAL VÆKST</t>
  </si>
  <si>
    <t>EBIT-MARGIN</t>
  </si>
  <si>
    <t>VALUE OF EQUITY i mio</t>
  </si>
  <si>
    <t>Forventet vækst</t>
  </si>
  <si>
    <t>2022-2024</t>
  </si>
  <si>
    <t>Beta værdi</t>
  </si>
  <si>
    <t>Okt 2023 - April 2024</t>
  </si>
  <si>
    <t>Gennmsnit</t>
  </si>
  <si>
    <t>BETA 5 år</t>
  </si>
  <si>
    <t>Teorien er fra:</t>
  </si>
  <si>
    <t>K</t>
  </si>
  <si>
    <t>Kilde: Annual report  de pågældende år</t>
  </si>
  <si>
    <t>Kilde: Annual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</si>
</sst>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#,##0.00\ &quot;kr.&quot;;[Red]\-#,##0.00\ &quot;kr.&quot;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_-;_-@_-"/>
    <numFmt numFmtId="167" formatCode="_-* #,##0.00\ _k_r_._-;\-* #,##0.00\ _k_r_._-;_-* &quot;-&quot;??\ _k_r_._-;_-@_-"/>
    <numFmt numFmtId="168" formatCode="_-* #,##0\ _k_r_._-;\-* #,##0\ _k_r_._-;_-* &quot;-&quot;??\ _k_r_._-;_-@_-"/>
    <numFmt numFmtId="169" formatCode="0.0000"/>
    <numFmt numFmtId="170" formatCode="0.000"/>
    <numFmt numFmtId="171" formatCode="0.0"/>
    <numFmt numFmtId="172" formatCode="0.00000"/>
    <numFmt numFmtId="173" formatCode="_(* #,##0_);_(* \(#,##0\);_(* &quot;-&quot;??_);_(@_)"/>
    <numFmt numFmtId="174" formatCode="_-* #,##0.0\ _k_r_._-;\-* #,##0.0\ _k_r_._-;_-* &quot;-&quot;?\ _k_r_._-;_-@_-"/>
    <numFmt numFmtId="175" formatCode="_-* #,##0.00\ _k_r_._-;\-* #,##0.00\ _k_r_._-;_-* &quot;-&quot;?\ _k_r_._-;_-@_-"/>
    <numFmt numFmtId="176" formatCode="0.0000000000000000000000%"/>
  </numFmts>
  <fonts count="4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6"/>
      <color theme="1"/>
      <name val="Aptos Narrow"/>
      <scheme val="minor"/>
    </font>
    <font>
      <sz val="12"/>
      <color theme="1"/>
      <name val="Aptos Narrow"/>
    </font>
    <font>
      <sz val="12"/>
      <color theme="0"/>
      <name val="Aptos Narrow"/>
      <scheme val="minor"/>
    </font>
    <font>
      <u/>
      <sz val="12"/>
      <color theme="10"/>
      <name val="Aptos Narrow"/>
      <family val="2"/>
      <scheme val="minor"/>
    </font>
    <font>
      <sz val="12"/>
      <color rgb="FF232A31"/>
      <name val="Helvetica Neue"/>
      <family val="2"/>
    </font>
    <font>
      <sz val="12"/>
      <color rgb="FF000000"/>
      <name val="Aptos Narrow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color theme="0"/>
      <name val="Arial"/>
      <family val="2"/>
    </font>
    <font>
      <sz val="8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20"/>
      <color theme="1"/>
      <name val="Aptos Narrow"/>
      <family val="2"/>
      <scheme val="minor"/>
    </font>
    <font>
      <b/>
      <sz val="12"/>
      <color theme="0"/>
      <name val="Aptos Narrow (Tekst)"/>
    </font>
    <font>
      <sz val="18"/>
      <color theme="1"/>
      <name val="Aptos Narrow"/>
      <family val="2"/>
      <scheme val="minor"/>
    </font>
    <font>
      <vertAlign val="subscript"/>
      <sz val="20"/>
      <color theme="1"/>
      <name val="Aptos Narrow"/>
      <family val="2"/>
      <scheme val="minor"/>
    </font>
    <font>
      <sz val="20"/>
      <color theme="1"/>
      <name val="Calibri"/>
      <family val="2"/>
    </font>
    <font>
      <sz val="9"/>
      <color rgb="FF000000"/>
      <name val="Tahoma"/>
      <family val="2"/>
    </font>
    <font>
      <vertAlign val="subscript"/>
      <sz val="9"/>
      <color rgb="FF000000"/>
      <name val="Tahoma"/>
      <family val="2"/>
    </font>
    <font>
      <sz val="9"/>
      <color rgb="FF000000"/>
      <name val="Calibri"/>
      <family val="2"/>
    </font>
    <font>
      <sz val="12"/>
      <color theme="1"/>
      <name val="Aptos Narrow (Tekst)"/>
    </font>
    <font>
      <sz val="12"/>
      <color rgb="FF000000"/>
      <name val="Aptos Narrow"/>
      <family val="2"/>
      <scheme val="minor"/>
    </font>
    <font>
      <b/>
      <sz val="20"/>
      <color theme="0"/>
      <name val="Aptos Narrow (Tekst)"/>
    </font>
    <font>
      <b/>
      <sz val="20"/>
      <color theme="0"/>
      <name val="Aptos Narrow"/>
      <scheme val="minor"/>
    </font>
    <font>
      <sz val="20"/>
      <color theme="0"/>
      <name val="Aptos Narrow"/>
      <family val="2"/>
      <scheme val="minor"/>
    </font>
    <font>
      <sz val="12"/>
      <name val="Aptos Narrow"/>
      <scheme val="minor"/>
    </font>
    <font>
      <b/>
      <sz val="12"/>
      <name val="Aptos Narrow"/>
      <scheme val="minor"/>
    </font>
    <font>
      <sz val="12"/>
      <name val="Aptos Narrow"/>
      <family val="2"/>
      <scheme val="minor"/>
    </font>
    <font>
      <b/>
      <sz val="12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BFDCE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3">
    <xf numFmtId="0" fontId="0" fillId="0" borderId="0" xfId="0"/>
    <xf numFmtId="0" fontId="0" fillId="0" borderId="1" xfId="0" applyBorder="1"/>
    <xf numFmtId="164" fontId="0" fillId="0" borderId="0" xfId="1" applyNumberFormat="1" applyFont="1"/>
    <xf numFmtId="3" fontId="0" fillId="0" borderId="0" xfId="0" applyNumberFormat="1"/>
    <xf numFmtId="164" fontId="0" fillId="0" borderId="0" xfId="0" applyNumberFormat="1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0" xfId="0" applyFont="1"/>
    <xf numFmtId="0" fontId="4" fillId="2" borderId="1" xfId="0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right"/>
    </xf>
    <xf numFmtId="164" fontId="4" fillId="3" borderId="1" xfId="1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4" fillId="5" borderId="1" xfId="0" applyFont="1" applyFill="1" applyBorder="1"/>
    <xf numFmtId="164" fontId="4" fillId="0" borderId="4" xfId="1" applyNumberFormat="1" applyFont="1" applyBorder="1"/>
    <xf numFmtId="164" fontId="4" fillId="0" borderId="6" xfId="0" applyNumberFormat="1" applyFont="1" applyBorder="1"/>
    <xf numFmtId="0" fontId="5" fillId="0" borderId="0" xfId="0" applyFont="1"/>
    <xf numFmtId="14" fontId="0" fillId="0" borderId="0" xfId="0" applyNumberFormat="1"/>
    <xf numFmtId="0" fontId="0" fillId="0" borderId="7" xfId="0" applyBorder="1"/>
    <xf numFmtId="164" fontId="6" fillId="0" borderId="7" xfId="1" applyNumberFormat="1" applyFont="1" applyBorder="1"/>
    <xf numFmtId="9" fontId="0" fillId="0" borderId="0" xfId="2" applyFont="1"/>
    <xf numFmtId="165" fontId="0" fillId="0" borderId="0" xfId="2" applyNumberFormat="1" applyFont="1"/>
    <xf numFmtId="10" fontId="0" fillId="0" borderId="0" xfId="2" applyNumberFormat="1" applyFont="1"/>
    <xf numFmtId="0" fontId="6" fillId="0" borderId="8" xfId="0" applyFont="1" applyBorder="1"/>
    <xf numFmtId="164" fontId="6" fillId="0" borderId="9" xfId="1" applyNumberFormat="1" applyFont="1" applyFill="1" applyBorder="1"/>
    <xf numFmtId="10" fontId="0" fillId="0" borderId="5" xfId="2" applyNumberFormat="1" applyFont="1" applyBorder="1"/>
    <xf numFmtId="10" fontId="0" fillId="0" borderId="7" xfId="2" applyNumberFormat="1" applyFont="1" applyBorder="1"/>
    <xf numFmtId="10" fontId="0" fillId="0" borderId="10" xfId="2" applyNumberFormat="1" applyFont="1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7" fillId="6" borderId="7" xfId="0" applyFont="1" applyFill="1" applyBorder="1"/>
    <xf numFmtId="0" fontId="3" fillId="6" borderId="1" xfId="0" applyFont="1" applyFill="1" applyBorder="1"/>
    <xf numFmtId="0" fontId="2" fillId="6" borderId="0" xfId="0" applyFont="1" applyFill="1" applyAlignment="1">
      <alignment horizontal="center"/>
    </xf>
    <xf numFmtId="0" fontId="8" fillId="0" borderId="0" xfId="3"/>
    <xf numFmtId="0" fontId="0" fillId="0" borderId="4" xfId="0" applyBorder="1"/>
    <xf numFmtId="0" fontId="9" fillId="0" borderId="7" xfId="0" applyFont="1" applyBorder="1"/>
    <xf numFmtId="0" fontId="9" fillId="0" borderId="15" xfId="0" applyFont="1" applyBorder="1"/>
    <xf numFmtId="0" fontId="9" fillId="0" borderId="0" xfId="0" applyFont="1"/>
    <xf numFmtId="10" fontId="9" fillId="0" borderId="12" xfId="2" applyNumberFormat="1" applyFont="1" applyBorder="1"/>
    <xf numFmtId="10" fontId="9" fillId="0" borderId="0" xfId="2" applyNumberFormat="1" applyFont="1"/>
    <xf numFmtId="165" fontId="9" fillId="0" borderId="12" xfId="2" applyNumberFormat="1" applyFont="1" applyBorder="1"/>
    <xf numFmtId="0" fontId="10" fillId="0" borderId="0" xfId="0" applyFont="1" applyAlignment="1">
      <alignment horizontal="left" vertical="center" readingOrder="1"/>
    </xf>
    <xf numFmtId="10" fontId="0" fillId="0" borderId="0" xfId="0" applyNumberFormat="1"/>
    <xf numFmtId="2" fontId="0" fillId="0" borderId="0" xfId="1" applyNumberFormat="1" applyFont="1" applyBorder="1" applyAlignment="1"/>
    <xf numFmtId="9" fontId="0" fillId="0" borderId="0" xfId="0" applyNumberFormat="1"/>
    <xf numFmtId="0" fontId="0" fillId="0" borderId="8" xfId="0" applyBorder="1"/>
    <xf numFmtId="0" fontId="0" fillId="0" borderId="9" xfId="0" applyBorder="1"/>
    <xf numFmtId="10" fontId="0" fillId="0" borderId="5" xfId="0" applyNumberFormat="1" applyBorder="1"/>
    <xf numFmtId="3" fontId="0" fillId="0" borderId="7" xfId="0" applyNumberFormat="1" applyBorder="1"/>
    <xf numFmtId="3" fontId="0" fillId="0" borderId="10" xfId="0" applyNumberFormat="1" applyBorder="1"/>
    <xf numFmtId="0" fontId="7" fillId="6" borderId="10" xfId="0" applyFont="1" applyFill="1" applyBorder="1"/>
    <xf numFmtId="10" fontId="0" fillId="0" borderId="1" xfId="0" applyNumberFormat="1" applyBorder="1"/>
    <xf numFmtId="10" fontId="0" fillId="0" borderId="13" xfId="0" applyNumberFormat="1" applyBorder="1"/>
    <xf numFmtId="0" fontId="0" fillId="0" borderId="17" xfId="0" applyBorder="1"/>
    <xf numFmtId="10" fontId="0" fillId="0" borderId="6" xfId="0" applyNumberFormat="1" applyBorder="1"/>
    <xf numFmtId="0" fontId="0" fillId="0" borderId="0" xfId="1" applyNumberFormat="1" applyFont="1"/>
    <xf numFmtId="0" fontId="0" fillId="0" borderId="0" xfId="1" applyNumberFormat="1" applyFont="1" applyAlignment="1">
      <alignment horizontal="center"/>
    </xf>
    <xf numFmtId="0" fontId="11" fillId="0" borderId="0" xfId="0" applyFont="1"/>
    <xf numFmtId="0" fontId="11" fillId="0" borderId="0" xfId="1" applyNumberFormat="1" applyFont="1"/>
    <xf numFmtId="0" fontId="0" fillId="0" borderId="19" xfId="0" applyBorder="1"/>
    <xf numFmtId="0" fontId="0" fillId="0" borderId="20" xfId="0" applyBorder="1"/>
    <xf numFmtId="0" fontId="1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9" fontId="0" fillId="0" borderId="19" xfId="2" applyFont="1" applyBorder="1"/>
    <xf numFmtId="9" fontId="0" fillId="0" borderId="0" xfId="2" applyFont="1" applyBorder="1"/>
    <xf numFmtId="0" fontId="0" fillId="0" borderId="21" xfId="0" applyBorder="1"/>
    <xf numFmtId="9" fontId="0" fillId="0" borderId="16" xfId="2" applyFont="1" applyBorder="1"/>
    <xf numFmtId="0" fontId="0" fillId="2" borderId="13" xfId="0" applyFill="1" applyBorder="1"/>
    <xf numFmtId="0" fontId="0" fillId="2" borderId="14" xfId="0" applyFill="1" applyBorder="1"/>
    <xf numFmtId="9" fontId="0" fillId="2" borderId="1" xfId="0" applyNumberFormat="1" applyFill="1" applyBorder="1"/>
    <xf numFmtId="0" fontId="0" fillId="0" borderId="27" xfId="0" applyBorder="1"/>
    <xf numFmtId="0" fontId="0" fillId="0" borderId="28" xfId="0" applyBorder="1"/>
    <xf numFmtId="0" fontId="0" fillId="0" borderId="31" xfId="0" applyBorder="1"/>
    <xf numFmtId="0" fontId="0" fillId="0" borderId="30" xfId="0" applyBorder="1" applyAlignment="1">
      <alignment horizontal="center" vertical="center"/>
    </xf>
    <xf numFmtId="0" fontId="11" fillId="0" borderId="0" xfId="1" applyNumberFormat="1" applyFont="1" applyBorder="1"/>
    <xf numFmtId="0" fontId="14" fillId="0" borderId="0" xfId="0" applyFont="1"/>
    <xf numFmtId="0" fontId="11" fillId="0" borderId="22" xfId="0" applyFont="1" applyBorder="1"/>
    <xf numFmtId="164" fontId="11" fillId="0" borderId="16" xfId="1" applyNumberFormat="1" applyFont="1" applyBorder="1"/>
    <xf numFmtId="164" fontId="11" fillId="0" borderId="24" xfId="1" applyNumberFormat="1" applyFont="1" applyBorder="1"/>
    <xf numFmtId="164" fontId="0" fillId="0" borderId="19" xfId="1" applyNumberFormat="1" applyFont="1" applyBorder="1" applyAlignment="1">
      <alignment horizontal="center"/>
    </xf>
    <xf numFmtId="164" fontId="0" fillId="0" borderId="19" xfId="1" applyNumberFormat="1" applyFont="1" applyBorder="1"/>
    <xf numFmtId="164" fontId="0" fillId="0" borderId="23" xfId="1" applyNumberFormat="1" applyFont="1" applyBorder="1"/>
    <xf numFmtId="164" fontId="0" fillId="0" borderId="0" xfId="1" applyNumberFormat="1" applyFont="1" applyBorder="1"/>
    <xf numFmtId="164" fontId="0" fillId="0" borderId="12" xfId="1" applyNumberFormat="1" applyFont="1" applyBorder="1"/>
    <xf numFmtId="167" fontId="0" fillId="0" borderId="0" xfId="0" applyNumberFormat="1"/>
    <xf numFmtId="10" fontId="11" fillId="0" borderId="0" xfId="2" applyNumberFormat="1" applyFont="1" applyBorder="1"/>
    <xf numFmtId="10" fontId="11" fillId="0" borderId="12" xfId="2" applyNumberFormat="1" applyFont="1" applyBorder="1"/>
    <xf numFmtId="168" fontId="0" fillId="0" borderId="7" xfId="0" applyNumberFormat="1" applyBorder="1"/>
    <xf numFmtId="168" fontId="0" fillId="0" borderId="16" xfId="0" applyNumberFormat="1" applyBorder="1"/>
    <xf numFmtId="168" fontId="0" fillId="0" borderId="24" xfId="0" applyNumberFormat="1" applyBorder="1"/>
    <xf numFmtId="164" fontId="0" fillId="0" borderId="19" xfId="0" applyNumberFormat="1" applyBorder="1"/>
    <xf numFmtId="10" fontId="0" fillId="2" borderId="1" xfId="0" applyNumberFormat="1" applyFill="1" applyBorder="1"/>
    <xf numFmtId="0" fontId="12" fillId="6" borderId="0" xfId="0" applyFont="1" applyFill="1"/>
    <xf numFmtId="0" fontId="11" fillId="0" borderId="17" xfId="0" applyFont="1" applyBorder="1"/>
    <xf numFmtId="164" fontId="11" fillId="0" borderId="32" xfId="1" applyNumberFormat="1" applyFont="1" applyBorder="1"/>
    <xf numFmtId="164" fontId="0" fillId="0" borderId="23" xfId="1" applyNumberFormat="1" applyFont="1" applyBorder="1" applyAlignment="1">
      <alignment horizontal="center"/>
    </xf>
    <xf numFmtId="0" fontId="11" fillId="0" borderId="1" xfId="0" applyFont="1" applyBorder="1"/>
    <xf numFmtId="0" fontId="11" fillId="0" borderId="11" xfId="0" applyFont="1" applyBorder="1"/>
    <xf numFmtId="164" fontId="11" fillId="0" borderId="7" xfId="1" applyNumberFormat="1" applyFont="1" applyBorder="1"/>
    <xf numFmtId="164" fontId="11" fillId="0" borderId="15" xfId="1" applyNumberFormat="1" applyFont="1" applyBorder="1"/>
    <xf numFmtId="164" fontId="13" fillId="0" borderId="16" xfId="1" applyNumberFormat="1" applyFont="1" applyBorder="1"/>
    <xf numFmtId="164" fontId="13" fillId="0" borderId="24" xfId="1" applyNumberFormat="1" applyFont="1" applyBorder="1"/>
    <xf numFmtId="164" fontId="13" fillId="0" borderId="0" xfId="1" applyNumberFormat="1" applyFont="1" applyBorder="1"/>
    <xf numFmtId="10" fontId="0" fillId="0" borderId="1" xfId="1" applyNumberFormat="1" applyFont="1" applyBorder="1"/>
    <xf numFmtId="172" fontId="0" fillId="0" borderId="0" xfId="0" applyNumberFormat="1"/>
    <xf numFmtId="1" fontId="0" fillId="0" borderId="0" xfId="0" applyNumberFormat="1"/>
    <xf numFmtId="164" fontId="0" fillId="0" borderId="32" xfId="0" applyNumberFormat="1" applyBorder="1"/>
    <xf numFmtId="0" fontId="16" fillId="0" borderId="7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9" fontId="0" fillId="0" borderId="7" xfId="2" applyFont="1" applyBorder="1"/>
    <xf numFmtId="0" fontId="0" fillId="0" borderId="15" xfId="2" applyNumberFormat="1" applyFont="1" applyBorder="1"/>
    <xf numFmtId="0" fontId="13" fillId="7" borderId="0" xfId="0" applyFont="1" applyFill="1" applyAlignment="1">
      <alignment horizontal="center" vertical="center"/>
    </xf>
    <xf numFmtId="0" fontId="13" fillId="7" borderId="0" xfId="0" applyFont="1" applyFill="1"/>
    <xf numFmtId="9" fontId="13" fillId="7" borderId="0" xfId="2" applyFont="1" applyFill="1" applyBorder="1"/>
    <xf numFmtId="0" fontId="17" fillId="8" borderId="0" xfId="0" applyFont="1" applyFill="1"/>
    <xf numFmtId="9" fontId="0" fillId="0" borderId="0" xfId="2" applyFont="1" applyAlignment="1">
      <alignment horizontal="left" indent="7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65" fontId="0" fillId="0" borderId="0" xfId="0" applyNumberFormat="1"/>
    <xf numFmtId="164" fontId="0" fillId="0" borderId="0" xfId="1" applyNumberFormat="1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0" fontId="20" fillId="0" borderId="12" xfId="0" applyFont="1" applyBorder="1"/>
    <xf numFmtId="0" fontId="22" fillId="8" borderId="20" xfId="0" applyFont="1" applyFill="1" applyBorder="1" applyAlignment="1">
      <alignment horizontal="left" wrapText="1"/>
    </xf>
    <xf numFmtId="1" fontId="22" fillId="8" borderId="19" xfId="0" quotePrefix="1" applyNumberFormat="1" applyFont="1" applyFill="1" applyBorder="1" applyAlignment="1">
      <alignment horizontal="right" wrapText="1"/>
    </xf>
    <xf numFmtId="1" fontId="22" fillId="8" borderId="0" xfId="0" applyNumberFormat="1" applyFont="1" applyFill="1" applyAlignment="1">
      <alignment horizontal="right" wrapText="1"/>
    </xf>
    <xf numFmtId="0" fontId="20" fillId="0" borderId="22" xfId="0" applyFont="1" applyBorder="1" applyAlignment="1">
      <alignment vertical="center" wrapText="1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0" fillId="9" borderId="12" xfId="0" applyNumberFormat="1" applyFont="1" applyFill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 wrapText="1"/>
    </xf>
    <xf numFmtId="3" fontId="19" fillId="0" borderId="16" xfId="0" applyNumberFormat="1" applyFont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0" fontId="22" fillId="8" borderId="0" xfId="0" applyFont="1" applyFill="1" applyAlignment="1">
      <alignment horizontal="left" wrapText="1"/>
    </xf>
    <xf numFmtId="1" fontId="22" fillId="8" borderId="0" xfId="0" quotePrefix="1" applyNumberFormat="1" applyFont="1" applyFill="1" applyAlignment="1">
      <alignment horizontal="right" wrapText="1"/>
    </xf>
    <xf numFmtId="1" fontId="22" fillId="8" borderId="12" xfId="0" quotePrefix="1" applyNumberFormat="1" applyFont="1" applyFill="1" applyBorder="1" applyAlignment="1">
      <alignment horizontal="right" wrapText="1"/>
    </xf>
    <xf numFmtId="3" fontId="20" fillId="0" borderId="16" xfId="0" applyNumberFormat="1" applyFont="1" applyBorder="1" applyAlignment="1">
      <alignment horizontal="right" vertical="center" wrapText="1"/>
    </xf>
    <xf numFmtId="3" fontId="20" fillId="9" borderId="24" xfId="0" applyNumberFormat="1" applyFont="1" applyFill="1" applyBorder="1" applyAlignment="1">
      <alignment horizontal="right" vertical="center" wrapText="1"/>
    </xf>
    <xf numFmtId="173" fontId="20" fillId="0" borderId="0" xfId="1" applyNumberFormat="1" applyFont="1" applyFill="1" applyBorder="1" applyAlignment="1">
      <alignment horizontal="right" vertical="center" wrapText="1"/>
    </xf>
    <xf numFmtId="173" fontId="20" fillId="9" borderId="12" xfId="1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19" fillId="0" borderId="35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3" fontId="11" fillId="0" borderId="7" xfId="1" applyFont="1" applyBorder="1" applyAlignment="1">
      <alignment horizontal="right" vertical="center"/>
    </xf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3" fontId="19" fillId="9" borderId="15" xfId="0" applyNumberFormat="1" applyFont="1" applyFill="1" applyBorder="1" applyAlignment="1">
      <alignment horizontal="right" vertical="center" wrapText="1"/>
    </xf>
    <xf numFmtId="3" fontId="19" fillId="9" borderId="35" xfId="0" applyNumberFormat="1" applyFont="1" applyFill="1" applyBorder="1" applyAlignment="1">
      <alignment horizontal="right"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center" wrapText="1"/>
    </xf>
    <xf numFmtId="0" fontId="21" fillId="0" borderId="12" xfId="0" applyFont="1" applyBorder="1"/>
    <xf numFmtId="0" fontId="19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right" vertical="center" wrapText="1"/>
    </xf>
    <xf numFmtId="0" fontId="0" fillId="0" borderId="36" xfId="0" applyBorder="1"/>
    <xf numFmtId="164" fontId="0" fillId="0" borderId="37" xfId="1" applyNumberFormat="1" applyFont="1" applyBorder="1"/>
    <xf numFmtId="3" fontId="0" fillId="0" borderId="37" xfId="0" applyNumberFormat="1" applyBorder="1"/>
    <xf numFmtId="174" fontId="0" fillId="0" borderId="0" xfId="0" applyNumberFormat="1"/>
    <xf numFmtId="164" fontId="0" fillId="0" borderId="2" xfId="0" applyNumberFormat="1" applyBorder="1"/>
    <xf numFmtId="0" fontId="8" fillId="0" borderId="0" xfId="3" applyAlignment="1">
      <alignment vertical="center"/>
    </xf>
    <xf numFmtId="0" fontId="0" fillId="0" borderId="2" xfId="0" applyBorder="1"/>
    <xf numFmtId="0" fontId="23" fillId="0" borderId="0" xfId="0" applyFont="1"/>
    <xf numFmtId="0" fontId="23" fillId="0" borderId="0" xfId="0" applyFont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vertical="center" wrapText="1"/>
    </xf>
    <xf numFmtId="3" fontId="19" fillId="0" borderId="32" xfId="0" applyNumberFormat="1" applyFont="1" applyBorder="1" applyAlignment="1">
      <alignment horizontal="right" vertical="center" wrapText="1"/>
    </xf>
    <xf numFmtId="3" fontId="19" fillId="0" borderId="18" xfId="0" applyNumberFormat="1" applyFont="1" applyBorder="1" applyAlignment="1">
      <alignment horizontal="right" vertical="center" wrapText="1"/>
    </xf>
    <xf numFmtId="0" fontId="20" fillId="0" borderId="25" xfId="0" applyFont="1" applyBorder="1" applyAlignment="1">
      <alignment vertical="center" wrapText="1"/>
    </xf>
    <xf numFmtId="3" fontId="20" fillId="0" borderId="26" xfId="0" applyNumberFormat="1" applyFont="1" applyBorder="1" applyAlignment="1">
      <alignment horizontal="right" vertical="center" wrapText="1"/>
    </xf>
    <xf numFmtId="3" fontId="20" fillId="9" borderId="39" xfId="0" applyNumberFormat="1" applyFont="1" applyFill="1" applyBorder="1" applyAlignment="1">
      <alignment horizontal="right" vertical="center" wrapText="1"/>
    </xf>
    <xf numFmtId="164" fontId="0" fillId="0" borderId="26" xfId="1" applyNumberFormat="1" applyFont="1" applyBorder="1"/>
    <xf numFmtId="164" fontId="0" fillId="0" borderId="27" xfId="1" applyNumberFormat="1" applyFont="1" applyBorder="1"/>
    <xf numFmtId="0" fontId="20" fillId="0" borderId="36" xfId="0" applyFont="1" applyBorder="1" applyAlignment="1">
      <alignment vertical="center"/>
    </xf>
    <xf numFmtId="0" fontId="19" fillId="0" borderId="40" xfId="0" applyFont="1" applyBorder="1" applyAlignment="1">
      <alignment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20" fillId="0" borderId="36" xfId="0" applyFont="1" applyBorder="1" applyAlignment="1">
      <alignment vertical="center" wrapText="1"/>
    </xf>
    <xf numFmtId="43" fontId="0" fillId="0" borderId="0" xfId="1" applyFont="1" applyBorder="1" applyAlignment="1">
      <alignment horizontal="right" vertical="center"/>
    </xf>
    <xf numFmtId="43" fontId="0" fillId="0" borderId="37" xfId="1" applyFont="1" applyBorder="1" applyAlignment="1">
      <alignment horizontal="right" vertical="center"/>
    </xf>
    <xf numFmtId="43" fontId="0" fillId="0" borderId="26" xfId="1" applyFont="1" applyBorder="1" applyAlignment="1">
      <alignment horizontal="right" vertical="center"/>
    </xf>
    <xf numFmtId="43" fontId="0" fillId="0" borderId="27" xfId="1" applyFont="1" applyBorder="1" applyAlignment="1">
      <alignment horizontal="right" vertical="center"/>
    </xf>
    <xf numFmtId="43" fontId="11" fillId="0" borderId="10" xfId="1" applyFont="1" applyBorder="1" applyAlignment="1">
      <alignment horizontal="right" vertical="center"/>
    </xf>
    <xf numFmtId="0" fontId="19" fillId="0" borderId="28" xfId="0" applyFont="1" applyBorder="1" applyAlignment="1">
      <alignment vertical="center" wrapText="1"/>
    </xf>
    <xf numFmtId="3" fontId="19" fillId="0" borderId="29" xfId="0" applyNumberFormat="1" applyFont="1" applyBorder="1" applyAlignment="1">
      <alignment horizontal="right" vertical="center" wrapText="1"/>
    </xf>
    <xf numFmtId="8" fontId="0" fillId="0" borderId="37" xfId="0" applyNumberFormat="1" applyBorder="1"/>
    <xf numFmtId="0" fontId="0" fillId="3" borderId="28" xfId="0" applyFill="1" applyBorder="1"/>
    <xf numFmtId="164" fontId="0" fillId="3" borderId="29" xfId="1" applyNumberFormat="1" applyFont="1" applyFill="1" applyBorder="1"/>
    <xf numFmtId="0" fontId="0" fillId="0" borderId="18" xfId="0" applyBorder="1"/>
    <xf numFmtId="0" fontId="24" fillId="6" borderId="18" xfId="0" applyFont="1" applyFill="1" applyBorder="1"/>
    <xf numFmtId="164" fontId="0" fillId="0" borderId="18" xfId="1" applyNumberFormat="1" applyFont="1" applyBorder="1"/>
    <xf numFmtId="43" fontId="0" fillId="0" borderId="11" xfId="1" applyFont="1" applyBorder="1" applyAlignment="1"/>
    <xf numFmtId="43" fontId="0" fillId="0" borderId="15" xfId="1" applyFont="1" applyBorder="1" applyAlignment="1"/>
    <xf numFmtId="164" fontId="23" fillId="7" borderId="0" xfId="0" applyNumberFormat="1" applyFont="1" applyFill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164" fontId="23" fillId="0" borderId="2" xfId="1" applyNumberFormat="1" applyFont="1" applyBorder="1"/>
    <xf numFmtId="0" fontId="0" fillId="0" borderId="37" xfId="0" applyBorder="1"/>
    <xf numFmtId="0" fontId="12" fillId="6" borderId="27" xfId="0" applyFont="1" applyFill="1" applyBorder="1"/>
    <xf numFmtId="10" fontId="0" fillId="0" borderId="18" xfId="2" applyNumberFormat="1" applyFont="1" applyBorder="1"/>
    <xf numFmtId="0" fontId="0" fillId="0" borderId="42" xfId="0" applyBorder="1"/>
    <xf numFmtId="0" fontId="0" fillId="0" borderId="41" xfId="0" applyBorder="1"/>
    <xf numFmtId="0" fontId="0" fillId="0" borderId="43" xfId="0" applyBorder="1"/>
    <xf numFmtId="10" fontId="0" fillId="0" borderId="37" xfId="0" applyNumberFormat="1" applyBorder="1"/>
    <xf numFmtId="0" fontId="7" fillId="6" borderId="0" xfId="0" applyFont="1" applyFill="1"/>
    <xf numFmtId="0" fontId="7" fillId="7" borderId="0" xfId="0" applyFont="1" applyFill="1"/>
    <xf numFmtId="0" fontId="7" fillId="6" borderId="12" xfId="0" applyFont="1" applyFill="1" applyBorder="1"/>
    <xf numFmtId="10" fontId="0" fillId="0" borderId="34" xfId="2" applyNumberFormat="1" applyFont="1" applyBorder="1"/>
    <xf numFmtId="0" fontId="7" fillId="0" borderId="0" xfId="0" applyFont="1"/>
    <xf numFmtId="164" fontId="0" fillId="0" borderId="0" xfId="1" applyNumberFormat="1" applyFont="1" applyFill="1" applyBorder="1"/>
    <xf numFmtId="10" fontId="0" fillId="0" borderId="0" xfId="2" applyNumberFormat="1" applyFont="1" applyFill="1" applyBorder="1"/>
    <xf numFmtId="0" fontId="12" fillId="6" borderId="1" xfId="0" applyFont="1" applyFill="1" applyBorder="1"/>
    <xf numFmtId="0" fontId="12" fillId="6" borderId="13" xfId="0" applyFont="1" applyFill="1" applyBorder="1"/>
    <xf numFmtId="175" fontId="0" fillId="0" borderId="0" xfId="0" applyNumberFormat="1"/>
    <xf numFmtId="164" fontId="0" fillId="0" borderId="2" xfId="1" applyNumberFormat="1" applyFont="1" applyBorder="1"/>
    <xf numFmtId="166" fontId="0" fillId="0" borderId="0" xfId="0" applyNumberFormat="1"/>
    <xf numFmtId="164" fontId="32" fillId="0" borderId="0" xfId="0" applyNumberFormat="1" applyFont="1"/>
    <xf numFmtId="0" fontId="0" fillId="0" borderId="46" xfId="0" applyBorder="1"/>
    <xf numFmtId="0" fontId="0" fillId="0" borderId="47" xfId="0" applyBorder="1"/>
    <xf numFmtId="0" fontId="0" fillId="0" borderId="29" xfId="0" applyBorder="1"/>
    <xf numFmtId="164" fontId="32" fillId="0" borderId="26" xfId="0" applyNumberFormat="1" applyFont="1" applyBorder="1"/>
    <xf numFmtId="0" fontId="0" fillId="0" borderId="48" xfId="0" applyBorder="1"/>
    <xf numFmtId="10" fontId="0" fillId="0" borderId="44" xfId="0" applyNumberFormat="1" applyBorder="1"/>
    <xf numFmtId="9" fontId="0" fillId="0" borderId="34" xfId="2" applyFont="1" applyBorder="1"/>
    <xf numFmtId="164" fontId="0" fillId="0" borderId="12" xfId="0" applyNumberFormat="1" applyBorder="1"/>
    <xf numFmtId="164" fontId="0" fillId="0" borderId="38" xfId="0" applyNumberFormat="1" applyBorder="1"/>
    <xf numFmtId="0" fontId="11" fillId="12" borderId="49" xfId="0" applyFont="1" applyFill="1" applyBorder="1"/>
    <xf numFmtId="164" fontId="0" fillId="12" borderId="50" xfId="0" applyNumberFormat="1" applyFill="1" applyBorder="1"/>
    <xf numFmtId="164" fontId="0" fillId="12" borderId="51" xfId="0" applyNumberFormat="1" applyFill="1" applyBorder="1"/>
    <xf numFmtId="164" fontId="11" fillId="0" borderId="7" xfId="0" applyNumberFormat="1" applyFont="1" applyBorder="1"/>
    <xf numFmtId="0" fontId="25" fillId="0" borderId="36" xfId="0" applyFont="1" applyBorder="1"/>
    <xf numFmtId="0" fontId="25" fillId="0" borderId="0" xfId="0" applyFont="1"/>
    <xf numFmtId="0" fontId="25" fillId="0" borderId="37" xfId="0" applyFont="1" applyBorder="1"/>
    <xf numFmtId="0" fontId="23" fillId="0" borderId="36" xfId="0" applyFont="1" applyBorder="1"/>
    <xf numFmtId="0" fontId="27" fillId="0" borderId="0" xfId="0" applyFont="1"/>
    <xf numFmtId="0" fontId="23" fillId="0" borderId="37" xfId="0" applyFont="1" applyBorder="1"/>
    <xf numFmtId="2" fontId="23" fillId="10" borderId="0" xfId="0" applyNumberFormat="1" applyFont="1" applyFill="1"/>
    <xf numFmtId="2" fontId="27" fillId="10" borderId="0" xfId="0" applyNumberFormat="1" applyFont="1" applyFill="1"/>
    <xf numFmtId="2" fontId="23" fillId="0" borderId="0" xfId="0" applyNumberFormat="1" applyFont="1"/>
    <xf numFmtId="2" fontId="27" fillId="0" borderId="0" xfId="0" applyNumberFormat="1" applyFont="1"/>
    <xf numFmtId="0" fontId="23" fillId="0" borderId="28" xfId="0" applyFont="1" applyBorder="1"/>
    <xf numFmtId="0" fontId="23" fillId="0" borderId="2" xfId="0" applyFont="1" applyBorder="1"/>
    <xf numFmtId="2" fontId="23" fillId="0" borderId="2" xfId="0" applyNumberFormat="1" applyFont="1" applyBorder="1"/>
    <xf numFmtId="0" fontId="23" fillId="0" borderId="29" xfId="0" applyFont="1" applyBorder="1"/>
    <xf numFmtId="2" fontId="23" fillId="0" borderId="37" xfId="0" applyNumberFormat="1" applyFont="1" applyBorder="1"/>
    <xf numFmtId="43" fontId="0" fillId="0" borderId="0" xfId="0" applyNumberFormat="1"/>
    <xf numFmtId="164" fontId="0" fillId="0" borderId="4" xfId="1" applyNumberFormat="1" applyFont="1" applyBorder="1"/>
    <xf numFmtId="0" fontId="0" fillId="0" borderId="33" xfId="0" applyBorder="1"/>
    <xf numFmtId="0" fontId="13" fillId="7" borderId="4" xfId="0" applyFont="1" applyFill="1" applyBorder="1"/>
    <xf numFmtId="0" fontId="7" fillId="7" borderId="28" xfId="0" applyFont="1" applyFill="1" applyBorder="1"/>
    <xf numFmtId="0" fontId="7" fillId="7" borderId="2" xfId="0" applyFont="1" applyFill="1" applyBorder="1"/>
    <xf numFmtId="0" fontId="31" fillId="7" borderId="52" xfId="0" applyFont="1" applyFill="1" applyBorder="1"/>
    <xf numFmtId="3" fontId="0" fillId="0" borderId="52" xfId="0" applyNumberFormat="1" applyBorder="1"/>
    <xf numFmtId="10" fontId="0" fillId="2" borderId="3" xfId="0" applyNumberFormat="1" applyFill="1" applyBorder="1"/>
    <xf numFmtId="0" fontId="23" fillId="0" borderId="32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3" fillId="0" borderId="0" xfId="0" applyFont="1" applyAlignment="1">
      <alignment horizontal="center"/>
    </xf>
    <xf numFmtId="172" fontId="23" fillId="0" borderId="0" xfId="0" applyNumberFormat="1" applyFont="1"/>
    <xf numFmtId="10" fontId="23" fillId="0" borderId="0" xfId="2" applyNumberFormat="1" applyFont="1" applyBorder="1"/>
    <xf numFmtId="169" fontId="23" fillId="0" borderId="0" xfId="0" applyNumberFormat="1" applyFont="1"/>
    <xf numFmtId="10" fontId="23" fillId="0" borderId="0" xfId="0" applyNumberFormat="1" applyFont="1"/>
    <xf numFmtId="172" fontId="23" fillId="0" borderId="2" xfId="0" applyNumberFormat="1" applyFont="1" applyBorder="1"/>
    <xf numFmtId="10" fontId="23" fillId="0" borderId="2" xfId="2" applyNumberFormat="1" applyFont="1" applyBorder="1"/>
    <xf numFmtId="164" fontId="23" fillId="0" borderId="0" xfId="1" applyNumberFormat="1" applyFont="1" applyBorder="1" applyAlignment="1"/>
    <xf numFmtId="43" fontId="23" fillId="0" borderId="0" xfId="1" applyFont="1" applyBorder="1" applyAlignment="1">
      <alignment horizontal="left" indent="2"/>
    </xf>
    <xf numFmtId="0" fontId="0" fillId="0" borderId="32" xfId="0" applyBorder="1"/>
    <xf numFmtId="1" fontId="0" fillId="0" borderId="32" xfId="0" applyNumberFormat="1" applyBorder="1"/>
    <xf numFmtId="9" fontId="0" fillId="0" borderId="32" xfId="0" applyNumberFormat="1" applyBorder="1"/>
    <xf numFmtId="0" fontId="0" fillId="0" borderId="36" xfId="0" applyBorder="1" applyAlignment="1">
      <alignment vertical="center"/>
    </xf>
    <xf numFmtId="170" fontId="0" fillId="0" borderId="0" xfId="0" applyNumberFormat="1" applyAlignment="1">
      <alignment vertical="center"/>
    </xf>
    <xf numFmtId="170" fontId="0" fillId="0" borderId="37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170" fontId="0" fillId="0" borderId="2" xfId="0" applyNumberFormat="1" applyBorder="1" applyAlignment="1">
      <alignment vertical="center"/>
    </xf>
    <xf numFmtId="170" fontId="0" fillId="0" borderId="29" xfId="0" applyNumberFormat="1" applyBorder="1" applyAlignment="1">
      <alignment vertical="center"/>
    </xf>
    <xf numFmtId="0" fontId="23" fillId="0" borderId="16" xfId="0" applyFont="1" applyBorder="1"/>
    <xf numFmtId="164" fontId="23" fillId="0" borderId="16" xfId="1" applyNumberFormat="1" applyFont="1" applyBorder="1" applyAlignment="1"/>
    <xf numFmtId="10" fontId="23" fillId="0" borderId="23" xfId="0" applyNumberFormat="1" applyFont="1" applyBorder="1"/>
    <xf numFmtId="0" fontId="23" fillId="0" borderId="21" xfId="0" applyFont="1" applyBorder="1"/>
    <xf numFmtId="164" fontId="23" fillId="0" borderId="24" xfId="1" applyNumberFormat="1" applyFont="1" applyBorder="1" applyAlignment="1"/>
    <xf numFmtId="164" fontId="11" fillId="0" borderId="2" xfId="1" applyNumberFormat="1" applyFont="1" applyBorder="1"/>
    <xf numFmtId="164" fontId="11" fillId="0" borderId="35" xfId="1" applyNumberFormat="1" applyFont="1" applyBorder="1"/>
    <xf numFmtId="164" fontId="11" fillId="0" borderId="19" xfId="1" applyNumberFormat="1" applyFont="1" applyBorder="1"/>
    <xf numFmtId="168" fontId="0" fillId="0" borderId="0" xfId="0" applyNumberFormat="1"/>
    <xf numFmtId="0" fontId="0" fillId="7" borderId="20" xfId="0" applyFill="1" applyBorder="1"/>
    <xf numFmtId="164" fontId="0" fillId="7" borderId="19" xfId="1" applyNumberFormat="1" applyFont="1" applyFill="1" applyBorder="1"/>
    <xf numFmtId="164" fontId="0" fillId="7" borderId="23" xfId="1" applyNumberFormat="1" applyFont="1" applyFill="1" applyBorder="1"/>
    <xf numFmtId="168" fontId="0" fillId="7" borderId="32" xfId="1" applyNumberFormat="1" applyFont="1" applyFill="1" applyBorder="1"/>
    <xf numFmtId="168" fontId="0" fillId="7" borderId="19" xfId="1" applyNumberFormat="1" applyFont="1" applyFill="1" applyBorder="1"/>
    <xf numFmtId="0" fontId="0" fillId="7" borderId="0" xfId="0" applyFill="1"/>
    <xf numFmtId="164" fontId="11" fillId="7" borderId="0" xfId="1" applyNumberFormat="1" applyFont="1" applyFill="1" applyBorder="1"/>
    <xf numFmtId="0" fontId="36" fillId="7" borderId="0" xfId="0" applyFont="1" applyFill="1"/>
    <xf numFmtId="164" fontId="36" fillId="7" borderId="0" xfId="1" applyNumberFormat="1" applyFont="1" applyFill="1" applyBorder="1"/>
    <xf numFmtId="0" fontId="37" fillId="7" borderId="0" xfId="0" applyFont="1" applyFill="1"/>
    <xf numFmtId="164" fontId="37" fillId="7" borderId="0" xfId="1" applyNumberFormat="1" applyFont="1" applyFill="1" applyBorder="1"/>
    <xf numFmtId="0" fontId="0" fillId="7" borderId="22" xfId="0" applyFill="1" applyBorder="1"/>
    <xf numFmtId="168" fontId="0" fillId="7" borderId="0" xfId="1" applyNumberFormat="1" applyFont="1" applyFill="1" applyBorder="1"/>
    <xf numFmtId="168" fontId="0" fillId="7" borderId="12" xfId="1" applyNumberFormat="1" applyFont="1" applyFill="1" applyBorder="1"/>
    <xf numFmtId="9" fontId="0" fillId="7" borderId="0" xfId="2" applyFont="1" applyFill="1" applyBorder="1"/>
    <xf numFmtId="10" fontId="0" fillId="7" borderId="0" xfId="0" applyNumberFormat="1" applyFill="1"/>
    <xf numFmtId="9" fontId="11" fillId="0" borderId="1" xfId="1" applyNumberFormat="1" applyFont="1" applyBorder="1"/>
    <xf numFmtId="164" fontId="11" fillId="0" borderId="23" xfId="1" applyNumberFormat="1" applyFont="1" applyBorder="1"/>
    <xf numFmtId="168" fontId="0" fillId="7" borderId="23" xfId="1" applyNumberFormat="1" applyFont="1" applyFill="1" applyBorder="1"/>
    <xf numFmtId="0" fontId="0" fillId="7" borderId="53" xfId="0" applyFill="1" applyBorder="1"/>
    <xf numFmtId="168" fontId="0" fillId="7" borderId="38" xfId="1" applyNumberFormat="1" applyFont="1" applyFill="1" applyBorder="1"/>
    <xf numFmtId="0" fontId="11" fillId="7" borderId="22" xfId="0" applyFont="1" applyFill="1" applyBorder="1"/>
    <xf numFmtId="164" fontId="11" fillId="7" borderId="12" xfId="1" applyNumberFormat="1" applyFont="1" applyFill="1" applyBorder="1"/>
    <xf numFmtId="0" fontId="11" fillId="0" borderId="54" xfId="0" applyFont="1" applyBorder="1"/>
    <xf numFmtId="0" fontId="11" fillId="7" borderId="55" xfId="0" applyFont="1" applyFill="1" applyBorder="1"/>
    <xf numFmtId="164" fontId="11" fillId="7" borderId="31" xfId="1" applyNumberFormat="1" applyFont="1" applyFill="1" applyBorder="1"/>
    <xf numFmtId="164" fontId="11" fillId="7" borderId="56" xfId="1" applyNumberFormat="1" applyFont="1" applyFill="1" applyBorder="1"/>
    <xf numFmtId="164" fontId="0" fillId="0" borderId="2" xfId="1" applyNumberFormat="1" applyFont="1" applyBorder="1" applyAlignment="1">
      <alignment vertical="center"/>
    </xf>
    <xf numFmtId="0" fontId="35" fillId="6" borderId="20" xfId="0" applyFont="1" applyFill="1" applyBorder="1"/>
    <xf numFmtId="0" fontId="35" fillId="6" borderId="19" xfId="0" applyFont="1" applyFill="1" applyBorder="1"/>
    <xf numFmtId="0" fontId="35" fillId="6" borderId="23" xfId="0" applyFont="1" applyFill="1" applyBorder="1"/>
    <xf numFmtId="0" fontId="23" fillId="0" borderId="22" xfId="0" applyFont="1" applyBorder="1"/>
    <xf numFmtId="164" fontId="23" fillId="0" borderId="12" xfId="1" applyNumberFormat="1" applyFont="1" applyBorder="1" applyAlignment="1"/>
    <xf numFmtId="43" fontId="23" fillId="0" borderId="12" xfId="1" applyFont="1" applyBorder="1" applyAlignment="1">
      <alignment horizontal="left" indent="2"/>
    </xf>
    <xf numFmtId="0" fontId="23" fillId="0" borderId="12" xfId="0" applyFont="1" applyBorder="1"/>
    <xf numFmtId="0" fontId="23" fillId="0" borderId="24" xfId="0" applyFont="1" applyBorder="1"/>
    <xf numFmtId="10" fontId="23" fillId="0" borderId="12" xfId="0" applyNumberFormat="1" applyFont="1" applyBorder="1"/>
    <xf numFmtId="0" fontId="35" fillId="11" borderId="20" xfId="0" applyFont="1" applyFill="1" applyBorder="1"/>
    <xf numFmtId="0" fontId="35" fillId="11" borderId="19" xfId="0" applyFont="1" applyFill="1" applyBorder="1"/>
    <xf numFmtId="0" fontId="35" fillId="11" borderId="23" xfId="0" applyFont="1" applyFill="1" applyBorder="1"/>
    <xf numFmtId="0" fontId="23" fillId="0" borderId="17" xfId="0" applyFont="1" applyBorder="1"/>
    <xf numFmtId="164" fontId="23" fillId="0" borderId="18" xfId="0" applyNumberFormat="1" applyFont="1" applyBorder="1" applyAlignment="1">
      <alignment horizontal="right" vertical="center"/>
    </xf>
    <xf numFmtId="0" fontId="23" fillId="7" borderId="20" xfId="0" applyFont="1" applyFill="1" applyBorder="1"/>
    <xf numFmtId="0" fontId="23" fillId="13" borderId="17" xfId="0" applyFont="1" applyFill="1" applyBorder="1"/>
    <xf numFmtId="164" fontId="23" fillId="13" borderId="18" xfId="1" applyNumberFormat="1" applyFont="1" applyFill="1" applyBorder="1" applyAlignment="1">
      <alignment horizontal="right" vertical="center"/>
    </xf>
    <xf numFmtId="0" fontId="35" fillId="6" borderId="17" xfId="0" applyFont="1" applyFill="1" applyBorder="1"/>
    <xf numFmtId="1" fontId="35" fillId="6" borderId="18" xfId="0" applyNumberFormat="1" applyFont="1" applyFill="1" applyBorder="1" applyAlignment="1">
      <alignment horizontal="right" vertical="center"/>
    </xf>
    <xf numFmtId="0" fontId="23" fillId="0" borderId="57" xfId="0" applyFont="1" applyBorder="1"/>
    <xf numFmtId="164" fontId="23" fillId="0" borderId="58" xfId="1" applyNumberFormat="1" applyFont="1" applyBorder="1" applyAlignment="1">
      <alignment horizontal="right" vertical="center"/>
    </xf>
    <xf numFmtId="0" fontId="23" fillId="0" borderId="45" xfId="0" applyFont="1" applyBorder="1"/>
    <xf numFmtId="3" fontId="23" fillId="0" borderId="59" xfId="0" applyNumberFormat="1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176" fontId="0" fillId="0" borderId="0" xfId="0" applyNumberFormat="1"/>
    <xf numFmtId="0" fontId="12" fillId="0" borderId="0" xfId="0" applyFont="1"/>
    <xf numFmtId="43" fontId="0" fillId="0" borderId="2" xfId="0" applyNumberFormat="1" applyBorder="1"/>
    <xf numFmtId="43" fontId="0" fillId="0" borderId="29" xfId="0" applyNumberFormat="1" applyBorder="1"/>
    <xf numFmtId="10" fontId="0" fillId="0" borderId="1" xfId="2" applyNumberFormat="1" applyFont="1" applyBorder="1"/>
    <xf numFmtId="43" fontId="0" fillId="0" borderId="0" xfId="1" applyFont="1"/>
    <xf numFmtId="0" fontId="0" fillId="0" borderId="0" xfId="0" applyAlignment="1">
      <alignment horizontal="center"/>
    </xf>
    <xf numFmtId="0" fontId="39" fillId="6" borderId="0" xfId="0" applyFont="1" applyFill="1" applyAlignment="1">
      <alignment horizontal="center"/>
    </xf>
    <xf numFmtId="0" fontId="38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43" fontId="0" fillId="0" borderId="0" xfId="1" applyFont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3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171" fontId="23" fillId="0" borderId="0" xfId="0" applyNumberFormat="1" applyFont="1" applyAlignment="1">
      <alignment horizontal="right"/>
    </xf>
    <xf numFmtId="0" fontId="34" fillId="6" borderId="25" xfId="0" applyFont="1" applyFill="1" applyBorder="1" applyAlignment="1">
      <alignment horizontal="center" vertical="center"/>
    </xf>
    <xf numFmtId="0" fontId="34" fillId="6" borderId="26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23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10" fontId="23" fillId="0" borderId="0" xfId="2" applyNumberFormat="1" applyFont="1" applyBorder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3" fontId="12" fillId="6" borderId="26" xfId="0" applyNumberFormat="1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24" fillId="6" borderId="25" xfId="0" applyFon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33" fillId="6" borderId="25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622299</xdr:colOff>
      <xdr:row>3</xdr:row>
      <xdr:rowOff>254000</xdr:rowOff>
    </xdr:from>
    <xdr:to>
      <xdr:col>10</xdr:col>
      <xdr:colOff>474086</xdr:colOff>
      <xdr:row>17</xdr:row>
      <xdr:rowOff>127000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22D7C80-5864-3A73-78A0-D1F60A153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1599" y="1016000"/>
          <a:ext cx="6862187" cy="3784600"/>
        </a:xfrm>
        <a:prstGeom prst="rect">
          <a:avLst/>
        </a:prstGeom>
      </xdr:spPr>
    </xdr:pic>
    <xdr:clientData/>
  </xdr:twoCellAnchor>
  <xdr:twoCellAnchor>
    <xdr:from>
      <xdr:col>0</xdr:col>
      <xdr:colOff>800100</xdr:colOff>
      <xdr:row>24</xdr:row>
      <xdr:rowOff>0</xdr:rowOff>
    </xdr:from>
    <xdr:to>
      <xdr:col>3</xdr:col>
      <xdr:colOff>0</xdr:colOff>
      <xdr:row>27</xdr:row>
      <xdr:rowOff>38100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1968ED96-2766-5B47-3089-0980FA94A9D6}"/>
            </a:ext>
          </a:extLst>
        </xdr:cNvPr>
        <xdr:cNvSpPr txBox="1"/>
      </xdr:nvSpPr>
      <xdr:spPr>
        <a:xfrm>
          <a:off x="800100" y="6591300"/>
          <a:ext cx="54737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/>
            <a:t>Hele den relative værdiansættelse er</a:t>
          </a:r>
          <a:r>
            <a:rPr lang="da-DK" sz="1600" baseline="0"/>
            <a:t> udarbejdet udfra variablene d. 6/4-2024</a:t>
          </a:r>
          <a:endParaRPr lang="da-DK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139700</xdr:colOff>
      <xdr:row>5</xdr:row>
      <xdr:rowOff>114300</xdr:rowOff>
    </xdr:from>
    <xdr:to>
      <xdr:col>19</xdr:col>
      <xdr:colOff>292100</xdr:colOff>
      <xdr:row>11</xdr:row>
      <xdr:rowOff>127000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7C48853-3268-4BC8-1257-A2BCAAA25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46000" y="1130300"/>
          <a:ext cx="4279900" cy="1231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139700</xdr:rowOff>
    </xdr:from>
    <xdr:to>
      <xdr:col>11</xdr:col>
      <xdr:colOff>76200</xdr:colOff>
      <xdr:row>10</xdr:row>
      <xdr:rowOff>169517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F7697CE-646F-78AD-5562-E4D6242AD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342900"/>
          <a:ext cx="7772400" cy="1858617"/>
        </a:xfrm>
        <a:prstGeom prst="rect">
          <a:avLst/>
        </a:prstGeom>
      </xdr:spPr>
    </xdr:pic>
    <xdr:clientData/>
  </xdr:twoCellAnchor>
  <xdr:twoCellAnchor editAs="oneCell">
    <xdr:from>
      <xdr:col>11</xdr:col>
      <xdr:colOff>88900</xdr:colOff>
      <xdr:row>3</xdr:row>
      <xdr:rowOff>101600</xdr:rowOff>
    </xdr:from>
    <xdr:to>
      <xdr:col>16</xdr:col>
      <xdr:colOff>673100</xdr:colOff>
      <xdr:row>9</xdr:row>
      <xdr:rowOff>114300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F42D3BF-41FF-B22A-E27F-6E908040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711200"/>
          <a:ext cx="2514600" cy="1231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liver Gehl Nielsen" id="{D68CDF18-450A-8048-AABB-B130A53FE6C5}" userId="S::oliv122c@rhs.dk::20486951-105f-404d-8db4-2d5f03729a6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4-04-06T08:29:14.35" personId="{D68CDF18-450A-8048-AABB-B130A53FE6C5}" id="{84B13E55-10BC-A148-80C3-604544BD7A4C}">
    <text>Denne normaliserede indtjening er over en 2 årig periode. (2022 og 2023)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0" dT="2024-04-09T09:20:55.79" personId="{D68CDF18-450A-8048-AABB-B130A53FE6C5}" id="{1000BF30-FE5B-6340-8669-B4535C5588E4}">
    <text>Historisk set har C25 indekst giver 7,35% årlig afkast.
Kilde: https://dinfo.dk/afkast-paa-aktier-se-det-historiske-gennemsnitlige-afkast/
Selvom om kilden er fra 2020, anses det stadig som troværdigt</text>
    <extLst>
      <x:ext xmlns:xltc2="http://schemas.microsoft.com/office/spreadsheetml/2020/threadedcomments2" uri="{F7C98A9C-CBB3-438F-8F68-D28B6AF4A901}">
        <xltc2:checksum>604661017</xltc2:checksum>
        <xltc2:hyperlink startIndex="64" length="75" url="https://dinfo.dk/afkast-paa-aktier-se-det-historiske-gennemsnitlige-afkast/"/>
      </x:ext>
    </extLs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4" dT="2024-04-10T12:40:56.67" personId="{D68CDF18-450A-8048-AABB-B130A53FE6C5}" id="{98F38349-FCEC-D743-8117-CAB6CDAF7D6D}">
    <text>E = Markedsværdi af egenkapital</text>
  </threadedComment>
  <threadedComment ref="G4" dT="2024-04-09T08:16:42.71" personId="{D68CDF18-450A-8048-AABB-B130A53FE6C5}" id="{6890C950-A71F-A143-959B-03D464277431}">
    <text>EKF = Egenkapitelns forrentning, og idenne sammenhæng udgør det ejernes afkastningskrav som er fastlagt ved CAPM</text>
  </threadedComment>
  <threadedComment ref="I4" dT="2024-04-09T08:19:06.83" personId="{D68CDF18-450A-8048-AABB-B130A53FE6C5}" id="{F2E694A2-441A-E543-AD1A-18DD2BAE99E5}">
    <text>Gæld= Markedsværdien af gælden. Hvis de regnskabsmæssige tal bliver benyttet, er det gælden af passiverne på balancen
G/V udgør gældsætningsgraden.
E/V (soliditetsgrad + G/V (gældsætningsgraden) skal altid være = 100%
De kaldes kapitalvægtene</text>
  </threadedComment>
  <threadedComment ref="K4" dT="2024-04-09T08:22:28.94" personId="{D68CDF18-450A-8048-AABB-B130A53FE6C5}" id="{D8218C90-94A5-F342-BCEA-6479C1D2FF54}">
    <text>GR = Gennemsnitlig rente, virksomheden betaler for fremmed kapital</text>
  </threadedComment>
  <threadedComment ref="M4" dT="2024-04-09T08:23:24.89" personId="{D68CDF18-450A-8048-AABB-B130A53FE6C5}" id="{B7902704-1209-EF44-A9BF-91FF157D658F}">
    <text>Da renteomkostninger kan fratrækkes, skal dette medtages. Som beskrevet i excel udgør selsskabsskatten i dk 22%</text>
  </threadedComment>
  <threadedComment ref="E5" dT="2024-04-09T08:15:45.82" personId="{D68CDF18-450A-8048-AABB-B130A53FE6C5}" id="{26E8E59E-7650-5B46-B5C6-48511EE9E32E}">
    <text>V= Value, værdien af alle aktiver ialt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O46" dT="2024-04-08T19:13:33.04" personId="{D68CDF18-450A-8048-AABB-B130A53FE6C5}" id="{A7927551-1BA3-7144-962A-62FADD8386B2}">
    <text>“Adjustment of DKK 1 million due to rounding of figures.” - Alexander Plenborg, Investor Relations in DSV</text>
  </threadedComment>
  <threadedComment ref="P46" dT="2024-04-08T19:14:18.81" personId="{D68CDF18-450A-8048-AABB-B130A53FE6C5}" id="{CC68CA7B-C128-0549-8A29-F46ED6A764E3}">
    <text xml:space="preserve">“Minor adjustment of DKK 1 million.” - Alexander Plenborg, Investor relations in DSV.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crotrends.net/global-metrics/countries/WLD/world/gdp-growth-rat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infrontanalytics.com/fe-EN/30184SD/DSV-A-S/Beta" TargetMode="External"/><Relationship Id="rId1" Type="http://schemas.openxmlformats.org/officeDocument/2006/relationships/hyperlink" Target="https://finance.yahoo.com/quote/DSV.CO/histor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C190-EB79-0840-A8F5-764204E33C12}">
  <dimension ref="B2:D23"/>
  <sheetViews>
    <sheetView workbookViewId="0">
      <selection activeCell="D11" sqref="D11"/>
    </sheetView>
  </sheetViews>
  <sheetFormatPr baseColWidth="10" defaultRowHeight="16"/>
  <cols>
    <col min="2" max="2" width="50.5" bestFit="1" customWidth="1"/>
    <col min="3" max="3" width="21" bestFit="1" customWidth="1"/>
    <col min="6" max="6" width="29.6640625" bestFit="1" customWidth="1"/>
    <col min="7" max="7" width="17.6640625" bestFit="1" customWidth="1"/>
    <col min="9" max="9" width="12.1640625" bestFit="1" customWidth="1"/>
  </cols>
  <sheetData>
    <row r="2" spans="2:3" ht="22">
      <c r="B2" s="32" t="s">
        <v>2</v>
      </c>
      <c r="C2" s="5" t="s">
        <v>1</v>
      </c>
    </row>
    <row r="3" spans="2:3" ht="22">
      <c r="B3" s="6" t="s">
        <v>3</v>
      </c>
      <c r="C3" s="5">
        <v>19.98</v>
      </c>
    </row>
    <row r="4" spans="2:3" ht="22">
      <c r="B4" s="6" t="s">
        <v>0</v>
      </c>
      <c r="C4" s="5">
        <v>26.39</v>
      </c>
    </row>
    <row r="5" spans="2:3" ht="22">
      <c r="B5" s="6" t="s">
        <v>4</v>
      </c>
      <c r="C5" s="5">
        <v>12.29</v>
      </c>
    </row>
    <row r="6" spans="2:3" ht="22">
      <c r="B6" s="6" t="s">
        <v>5</v>
      </c>
      <c r="C6" s="5">
        <v>19.72</v>
      </c>
    </row>
    <row r="7" spans="2:3" ht="22">
      <c r="B7" s="6" t="s">
        <v>6</v>
      </c>
      <c r="C7" s="5">
        <v>14.45</v>
      </c>
    </row>
    <row r="8" spans="2:3" ht="22">
      <c r="B8" s="6" t="s">
        <v>7</v>
      </c>
      <c r="C8" s="5">
        <v>6.14</v>
      </c>
    </row>
    <row r="9" spans="2:3" ht="22">
      <c r="B9" s="7" t="s">
        <v>15</v>
      </c>
      <c r="C9" s="7">
        <f>AVERAGE(C3:C8)</f>
        <v>16.495000000000001</v>
      </c>
    </row>
    <row r="10" spans="2:3" ht="22">
      <c r="B10" s="17" t="s">
        <v>16</v>
      </c>
      <c r="C10" s="8"/>
    </row>
    <row r="11" spans="2:3" ht="22">
      <c r="B11" s="8"/>
      <c r="C11" s="8"/>
    </row>
    <row r="12" spans="2:3" ht="22">
      <c r="B12" s="8"/>
      <c r="C12" s="8"/>
    </row>
    <row r="13" spans="2:3" ht="22">
      <c r="B13" s="32" t="s">
        <v>9</v>
      </c>
      <c r="C13" s="5" t="s">
        <v>10</v>
      </c>
    </row>
    <row r="14" spans="2:3" ht="22">
      <c r="B14" s="9">
        <v>2022</v>
      </c>
      <c r="C14" s="10">
        <v>18765000000</v>
      </c>
    </row>
    <row r="15" spans="2:3" ht="22">
      <c r="B15" s="9">
        <v>2023</v>
      </c>
      <c r="C15" s="11">
        <v>12650000000</v>
      </c>
    </row>
    <row r="16" spans="2:3" ht="22">
      <c r="B16" s="7" t="s">
        <v>11</v>
      </c>
      <c r="C16" s="12">
        <f>(C14+C15)/2</f>
        <v>15707500000</v>
      </c>
    </row>
    <row r="17" spans="2:4" ht="22">
      <c r="B17" s="17"/>
      <c r="C17" s="8"/>
    </row>
    <row r="18" spans="2:4" ht="22">
      <c r="B18" s="8"/>
      <c r="C18" s="8"/>
    </row>
    <row r="19" spans="2:4" ht="23" thickBot="1">
      <c r="B19" s="8"/>
      <c r="C19" s="8"/>
    </row>
    <row r="20" spans="2:4" ht="23" thickBot="1">
      <c r="B20" s="32" t="s">
        <v>12</v>
      </c>
      <c r="C20" s="16">
        <f>C9*C16</f>
        <v>259095212500.00003</v>
      </c>
      <c r="D20" s="18"/>
    </row>
    <row r="21" spans="2:4" ht="23" thickTop="1">
      <c r="B21" s="13" t="s">
        <v>13</v>
      </c>
      <c r="C21" s="15">
        <v>219000000</v>
      </c>
      <c r="D21" s="18"/>
    </row>
    <row r="22" spans="2:4" ht="22">
      <c r="B22" s="13" t="s">
        <v>14</v>
      </c>
      <c r="C22" s="14">
        <f>C20/C21</f>
        <v>1183.0831621004568</v>
      </c>
      <c r="D22" s="18"/>
    </row>
    <row r="23" spans="2:4" ht="22">
      <c r="B23" s="8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C5F2-1E23-5142-8F9D-3F9AF1F6586A}">
  <dimension ref="B3:H23"/>
  <sheetViews>
    <sheetView workbookViewId="0">
      <selection activeCell="I26" sqref="I26"/>
    </sheetView>
  </sheetViews>
  <sheetFormatPr baseColWidth="10" defaultRowHeight="16"/>
  <cols>
    <col min="2" max="2" width="23.5" bestFit="1" customWidth="1"/>
    <col min="3" max="3" width="11" customWidth="1"/>
    <col min="4" max="7" width="13.5" bestFit="1" customWidth="1"/>
  </cols>
  <sheetData>
    <row r="3" spans="2:8" ht="17" thickBot="1"/>
    <row r="4" spans="2:8">
      <c r="B4" s="400" t="s">
        <v>689</v>
      </c>
      <c r="C4" s="401"/>
      <c r="D4" s="401"/>
      <c r="E4" s="401"/>
      <c r="F4" s="401"/>
      <c r="G4" s="402"/>
      <c r="H4" s="347"/>
    </row>
    <row r="5" spans="2:8">
      <c r="B5" s="168" t="s">
        <v>640</v>
      </c>
      <c r="C5" s="43">
        <f>D5-0.01</f>
        <v>5.5518728786697037E-2</v>
      </c>
      <c r="D5" s="43">
        <f>E5-0.01</f>
        <v>6.5518728786697039E-2</v>
      </c>
      <c r="E5" s="43">
        <f>WACC!I18</f>
        <v>7.5518728786697034E-2</v>
      </c>
      <c r="F5" s="43">
        <f>E5+0.01</f>
        <v>8.5518728786697029E-2</v>
      </c>
      <c r="G5" s="214">
        <f>F5+0.01</f>
        <v>9.5518728786697024E-2</v>
      </c>
      <c r="H5" s="43"/>
    </row>
    <row r="6" spans="2:8">
      <c r="B6" s="168" t="s">
        <v>722</v>
      </c>
      <c r="C6" s="3">
        <v>553970</v>
      </c>
      <c r="D6" s="2">
        <v>366188</v>
      </c>
      <c r="E6" s="85">
        <f>DCF!D14</f>
        <v>269632.37270289782</v>
      </c>
      <c r="F6" s="85">
        <v>211092</v>
      </c>
      <c r="G6" s="169">
        <v>171630</v>
      </c>
    </row>
    <row r="7" spans="2:8" ht="17" thickBot="1">
      <c r="B7" s="74" t="s">
        <v>690</v>
      </c>
      <c r="C7" s="174">
        <v>2530</v>
      </c>
      <c r="D7" s="174">
        <v>1672</v>
      </c>
      <c r="E7" s="225">
        <f>E6/DCF!D15</f>
        <v>1231.1980488716795</v>
      </c>
      <c r="F7" s="174">
        <v>964</v>
      </c>
      <c r="G7" s="230">
        <v>784</v>
      </c>
    </row>
    <row r="8" spans="2:8" ht="17" thickBot="1">
      <c r="B8" s="74" t="s">
        <v>691</v>
      </c>
      <c r="C8" s="172">
        <f>C7*100/E7</f>
        <v>205.49090394665555</v>
      </c>
      <c r="D8" s="172">
        <f>D7*100/E7</f>
        <v>135.80268434735495</v>
      </c>
      <c r="E8" s="172">
        <f>E7*100/$E$7</f>
        <v>100</v>
      </c>
      <c r="F8" s="348">
        <f>F7*100/$E$7</f>
        <v>78.297719922757295</v>
      </c>
      <c r="G8" s="349">
        <f>G7*100/$E$7</f>
        <v>63.677813713113814</v>
      </c>
    </row>
    <row r="11" spans="2:8" ht="17" thickBot="1"/>
    <row r="12" spans="2:8">
      <c r="B12" s="400" t="s">
        <v>718</v>
      </c>
      <c r="C12" s="401"/>
      <c r="D12" s="401"/>
      <c r="E12" s="401"/>
      <c r="F12" s="401"/>
      <c r="G12" s="401"/>
      <c r="H12" s="402"/>
    </row>
    <row r="13" spans="2:8">
      <c r="B13" s="168" t="s">
        <v>721</v>
      </c>
      <c r="C13" s="43">
        <f>D13-0.01</f>
        <v>7.6713060560783308E-2</v>
      </c>
      <c r="D13" s="43">
        <f>E13-0.01</f>
        <v>8.6713060560783303E-2</v>
      </c>
      <c r="E13" s="43">
        <f>Resultatopgørelse!M41</f>
        <v>9.6713060560783298E-2</v>
      </c>
      <c r="F13" s="43">
        <f>E13+0.01</f>
        <v>0.10671306056078329</v>
      </c>
      <c r="G13" s="43">
        <f>F13+0.01</f>
        <v>0.11671306056078329</v>
      </c>
      <c r="H13" s="208"/>
    </row>
    <row r="14" spans="2:8">
      <c r="B14" s="168" t="s">
        <v>722</v>
      </c>
      <c r="C14" s="85">
        <v>211968</v>
      </c>
      <c r="D14" s="85">
        <v>240782</v>
      </c>
      <c r="E14" s="85">
        <f>DCF!D14</f>
        <v>269632.37270289782</v>
      </c>
      <c r="F14" s="85">
        <v>298408</v>
      </c>
      <c r="G14" s="85">
        <v>327221</v>
      </c>
      <c r="H14" s="208"/>
    </row>
    <row r="15" spans="2:8" ht="17" thickBot="1">
      <c r="B15" s="74" t="s">
        <v>690</v>
      </c>
      <c r="C15" s="174">
        <v>968</v>
      </c>
      <c r="D15" s="174">
        <v>1099</v>
      </c>
      <c r="E15" s="225">
        <f>DCF!D16</f>
        <v>1231.1980488716795</v>
      </c>
      <c r="F15" s="174">
        <v>1363</v>
      </c>
      <c r="G15" s="174">
        <v>1494</v>
      </c>
      <c r="H15" s="230"/>
    </row>
    <row r="16" spans="2:8" ht="17" thickBot="1">
      <c r="B16" s="74" t="s">
        <v>691</v>
      </c>
      <c r="C16" s="172">
        <f>C15*100/E15</f>
        <v>78.622606727416027</v>
      </c>
      <c r="D16" s="172">
        <f>D15*100/E15</f>
        <v>89.262649579989898</v>
      </c>
      <c r="E16" s="172">
        <f>E15*100/E15</f>
        <v>100</v>
      </c>
      <c r="F16" s="172">
        <f>F15*100/E15</f>
        <v>110.705178687467</v>
      </c>
      <c r="G16" s="172">
        <f>G15*100/E15</f>
        <v>121.34522154004085</v>
      </c>
      <c r="H16" s="230"/>
    </row>
    <row r="18" spans="2:8" ht="17" thickBot="1"/>
    <row r="19" spans="2:8">
      <c r="B19" s="400" t="s">
        <v>719</v>
      </c>
      <c r="C19" s="401"/>
      <c r="D19" s="401"/>
      <c r="E19" s="401"/>
      <c r="F19" s="401"/>
      <c r="G19" s="401"/>
      <c r="H19" s="402"/>
    </row>
    <row r="20" spans="2:8">
      <c r="B20" s="168" t="s">
        <v>720</v>
      </c>
      <c r="C20" s="43">
        <f>D20-0.01</f>
        <v>1.4382608695652182E-2</v>
      </c>
      <c r="D20" s="43">
        <f>E20-0.01</f>
        <v>2.4382608695652182E-2</v>
      </c>
      <c r="E20" s="43">
        <f>DCF!D10</f>
        <v>3.4382608695652184E-2</v>
      </c>
      <c r="F20" s="43">
        <f>E20+0.01</f>
        <v>4.4382608695652186E-2</v>
      </c>
      <c r="G20" s="43">
        <f>F20+0.01</f>
        <v>5.4382608695652188E-2</v>
      </c>
      <c r="H20" s="208"/>
    </row>
    <row r="21" spans="2:8">
      <c r="B21" s="168" t="s">
        <v>722</v>
      </c>
      <c r="C21" s="85">
        <v>185652</v>
      </c>
      <c r="D21" s="85">
        <v>219431</v>
      </c>
      <c r="E21" s="85">
        <f>DCF!D14</f>
        <v>269632.37270289782</v>
      </c>
      <c r="F21" s="85">
        <v>352080</v>
      </c>
      <c r="G21" s="85">
        <v>512545</v>
      </c>
      <c r="H21" s="208"/>
    </row>
    <row r="22" spans="2:8" ht="17" thickBot="1">
      <c r="B22" s="74" t="s">
        <v>690</v>
      </c>
      <c r="C22" s="174">
        <v>848</v>
      </c>
      <c r="D22" s="174">
        <v>1002</v>
      </c>
      <c r="E22" s="225">
        <f>DCF!D16</f>
        <v>1231.1980488716795</v>
      </c>
      <c r="F22" s="174">
        <v>1608</v>
      </c>
      <c r="G22" s="174">
        <v>2340</v>
      </c>
      <c r="H22" s="230"/>
    </row>
    <row r="23" spans="2:8" ht="17" thickBot="1">
      <c r="B23" s="74" t="s">
        <v>691</v>
      </c>
      <c r="C23" s="172">
        <f>C22*100/E22</f>
        <v>68.876002587653716</v>
      </c>
      <c r="D23" s="172">
        <f>D22*100/E22</f>
        <v>81.384144567015355</v>
      </c>
      <c r="E23" s="172">
        <f>E22*100/E22</f>
        <v>100</v>
      </c>
      <c r="F23" s="172">
        <f>F22*100/E22</f>
        <v>130.60449547281507</v>
      </c>
      <c r="G23" s="172">
        <f>G22*100/E22</f>
        <v>190.05878072536521</v>
      </c>
      <c r="H23" s="230"/>
    </row>
  </sheetData>
  <mergeCells count="3">
    <mergeCell ref="B12:H12"/>
    <mergeCell ref="B19:H19"/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8722-2431-C24E-B28F-534FA78F06DA}">
  <dimension ref="C4:N46"/>
  <sheetViews>
    <sheetView workbookViewId="0">
      <selection activeCell="J29" sqref="J29"/>
    </sheetView>
  </sheetViews>
  <sheetFormatPr baseColWidth="10" defaultRowHeight="16"/>
  <cols>
    <col min="3" max="3" width="22.33203125" bestFit="1" customWidth="1"/>
    <col min="4" max="7" width="11.5" bestFit="1" customWidth="1"/>
    <col min="8" max="9" width="11" bestFit="1" customWidth="1"/>
    <col min="10" max="10" width="29.33203125" bestFit="1" customWidth="1"/>
    <col min="11" max="13" width="11" bestFit="1" customWidth="1"/>
  </cols>
  <sheetData>
    <row r="4" spans="3:14" ht="17" thickBot="1">
      <c r="C4" t="s">
        <v>558</v>
      </c>
    </row>
    <row r="5" spans="3:14">
      <c r="C5" s="31" t="s">
        <v>19</v>
      </c>
      <c r="D5" s="31">
        <v>2014</v>
      </c>
      <c r="E5" s="31">
        <v>2015</v>
      </c>
      <c r="F5" s="31">
        <v>2016</v>
      </c>
      <c r="G5" s="31">
        <v>2017</v>
      </c>
      <c r="H5" s="31">
        <v>2018</v>
      </c>
      <c r="I5" s="31">
        <v>2019</v>
      </c>
      <c r="J5" s="31">
        <v>2020</v>
      </c>
      <c r="K5" s="31">
        <v>2021</v>
      </c>
      <c r="L5" s="31">
        <v>2022</v>
      </c>
      <c r="M5" s="31">
        <v>2023</v>
      </c>
      <c r="N5" s="24" t="s">
        <v>8</v>
      </c>
    </row>
    <row r="6" spans="3:14" ht="17" thickBot="1">
      <c r="C6" s="29" t="s">
        <v>20</v>
      </c>
      <c r="D6" s="20">
        <v>48582</v>
      </c>
      <c r="E6" s="20">
        <v>50869</v>
      </c>
      <c r="F6" s="20">
        <v>67747</v>
      </c>
      <c r="G6" s="20">
        <v>74901</v>
      </c>
      <c r="H6" s="20">
        <v>79053</v>
      </c>
      <c r="I6" s="20">
        <v>94701</v>
      </c>
      <c r="J6" s="20">
        <v>115932</v>
      </c>
      <c r="K6" s="20">
        <v>182306</v>
      </c>
      <c r="L6" s="20">
        <v>235665</v>
      </c>
      <c r="M6" s="20">
        <v>150785</v>
      </c>
      <c r="N6" s="25"/>
    </row>
    <row r="7" spans="3:14" ht="17" thickBot="1">
      <c r="C7" s="29" t="s">
        <v>18</v>
      </c>
      <c r="D7" s="30" t="s">
        <v>21</v>
      </c>
      <c r="E7" s="27">
        <f>(E6-D6)/D6</f>
        <v>4.7075048371824954E-2</v>
      </c>
      <c r="F7" s="27">
        <f t="shared" ref="F7:L7" si="0">(F6-E6)/E6</f>
        <v>0.33179343018341229</v>
      </c>
      <c r="G7" s="27">
        <f t="shared" si="0"/>
        <v>0.1055987719013388</v>
      </c>
      <c r="H7" s="27">
        <f t="shared" si="0"/>
        <v>5.5433171786758523E-2</v>
      </c>
      <c r="I7" s="27">
        <f t="shared" si="0"/>
        <v>0.19794315206254032</v>
      </c>
      <c r="J7" s="27">
        <f t="shared" si="0"/>
        <v>0.22418981848132544</v>
      </c>
      <c r="K7" s="27">
        <f>(K6-J6)/J6</f>
        <v>0.57252527343615223</v>
      </c>
      <c r="L7" s="27">
        <f t="shared" si="0"/>
        <v>0.29268921483659344</v>
      </c>
      <c r="M7" s="28">
        <f>(M6-L6)/L6</f>
        <v>-0.36017227844609934</v>
      </c>
      <c r="N7" s="26">
        <f>AVERAGE(E7:M7)</f>
        <v>0.1630084002904274</v>
      </c>
    </row>
    <row r="8" spans="3:14" ht="17" thickTop="1">
      <c r="C8" t="s">
        <v>557</v>
      </c>
    </row>
    <row r="10" spans="3:14" ht="17" thickBot="1">
      <c r="C10" t="s">
        <v>561</v>
      </c>
    </row>
    <row r="11" spans="3:14">
      <c r="C11" s="31" t="s">
        <v>19</v>
      </c>
      <c r="D11" s="31">
        <v>2024</v>
      </c>
      <c r="E11" s="31">
        <v>2025</v>
      </c>
      <c r="F11" s="51">
        <v>2026</v>
      </c>
      <c r="G11" s="46" t="s">
        <v>8</v>
      </c>
    </row>
    <row r="12" spans="3:14" ht="17" thickBot="1">
      <c r="C12" s="19" t="s">
        <v>20</v>
      </c>
      <c r="D12" s="49">
        <v>152237</v>
      </c>
      <c r="E12" s="49">
        <v>158485</v>
      </c>
      <c r="F12" s="50">
        <v>165016</v>
      </c>
      <c r="G12" s="47"/>
    </row>
    <row r="13" spans="3:14" ht="17" thickBot="1">
      <c r="C13" s="19" t="s">
        <v>18</v>
      </c>
      <c r="D13" s="27">
        <f>(D12-M6)/M6</f>
        <v>9.6296050668169906E-3</v>
      </c>
      <c r="E13" s="27">
        <f>(E12-D12)/D12</f>
        <v>4.1041271175863946E-2</v>
      </c>
      <c r="F13" s="28">
        <f>(F12-E12)/E12</f>
        <v>4.1208947218979712E-2</v>
      </c>
      <c r="G13" s="48">
        <f>AVERAGE(D13:F13)</f>
        <v>3.0626607820553552E-2</v>
      </c>
    </row>
    <row r="14" spans="3:14" ht="17" thickTop="1">
      <c r="C14" t="s">
        <v>587</v>
      </c>
      <c r="J14" s="95" t="s">
        <v>682</v>
      </c>
      <c r="K14" s="43">
        <f>D45</f>
        <v>2.9382608695652186E-2</v>
      </c>
    </row>
    <row r="15" spans="3:14">
      <c r="J15" s="222" t="s">
        <v>562</v>
      </c>
      <c r="K15" s="52">
        <f>N7</f>
        <v>0.1630084002904274</v>
      </c>
    </row>
    <row r="16" spans="3:14" ht="17" thickBot="1">
      <c r="J16" s="223" t="s">
        <v>723</v>
      </c>
      <c r="K16" s="53">
        <f>G13</f>
        <v>3.0626607820553552E-2</v>
      </c>
    </row>
    <row r="17" spans="3:11" ht="17" thickBot="1">
      <c r="J17" s="54" t="s">
        <v>8</v>
      </c>
      <c r="K17" s="55">
        <f>AVERAGE(K14:K16)</f>
        <v>7.4339205602211036E-2</v>
      </c>
    </row>
    <row r="19" spans="3:11">
      <c r="K19" s="43"/>
    </row>
    <row r="21" spans="3:11">
      <c r="C21" s="352" t="s">
        <v>560</v>
      </c>
      <c r="D21" s="352"/>
      <c r="E21" s="352"/>
      <c r="F21" s="352"/>
    </row>
    <row r="22" spans="3:11">
      <c r="C22">
        <v>2000</v>
      </c>
      <c r="D22" s="43">
        <v>4.5199999999999997E-2</v>
      </c>
      <c r="F22" s="23"/>
    </row>
    <row r="23" spans="3:11">
      <c r="C23">
        <v>2001</v>
      </c>
      <c r="D23" s="43">
        <v>2.01E-2</v>
      </c>
      <c r="F23" s="23"/>
    </row>
    <row r="24" spans="3:11">
      <c r="C24">
        <v>2002</v>
      </c>
      <c r="D24" s="43">
        <v>2.3E-2</v>
      </c>
      <c r="F24" s="23"/>
    </row>
    <row r="25" spans="3:11">
      <c r="C25">
        <v>2003</v>
      </c>
      <c r="D25" s="43">
        <v>3.1099999999999999E-2</v>
      </c>
      <c r="F25" s="23"/>
    </row>
    <row r="26" spans="3:11">
      <c r="C26">
        <v>2004</v>
      </c>
      <c r="D26" s="43">
        <v>4.4699999999999997E-2</v>
      </c>
      <c r="F26" s="23"/>
    </row>
    <row r="27" spans="3:11">
      <c r="C27">
        <v>2005</v>
      </c>
      <c r="D27" s="45">
        <v>0.04</v>
      </c>
      <c r="F27" s="23"/>
    </row>
    <row r="28" spans="3:11">
      <c r="C28">
        <v>2006</v>
      </c>
      <c r="D28" s="43">
        <v>4.4200000000000003E-2</v>
      </c>
      <c r="F28" s="23"/>
    </row>
    <row r="29" spans="3:11">
      <c r="C29">
        <v>2007</v>
      </c>
      <c r="D29" s="43">
        <v>4.3799999999999999E-2</v>
      </c>
      <c r="F29" s="23"/>
      <c r="J29" s="351"/>
    </row>
    <row r="30" spans="3:11">
      <c r="C30">
        <v>2008</v>
      </c>
      <c r="D30" s="43">
        <v>2.07E-2</v>
      </c>
      <c r="F30" s="23"/>
    </row>
    <row r="31" spans="3:11">
      <c r="C31">
        <v>2009</v>
      </c>
      <c r="D31" s="43">
        <v>-1.34E-2</v>
      </c>
      <c r="F31" s="23"/>
    </row>
    <row r="32" spans="3:11">
      <c r="C32">
        <v>2010</v>
      </c>
      <c r="D32" s="43">
        <v>4.5400000000000003E-2</v>
      </c>
      <c r="F32" s="23"/>
    </row>
    <row r="33" spans="3:6">
      <c r="C33">
        <v>2011</v>
      </c>
      <c r="D33" s="43">
        <v>3.32E-2</v>
      </c>
      <c r="F33" s="43"/>
    </row>
    <row r="34" spans="3:6">
      <c r="C34">
        <v>2012</v>
      </c>
      <c r="D34" s="23">
        <v>2.7099999999999999E-2</v>
      </c>
    </row>
    <row r="35" spans="3:6">
      <c r="C35">
        <v>2013</v>
      </c>
      <c r="D35" s="23">
        <v>2.81E-2</v>
      </c>
    </row>
    <row r="36" spans="3:6">
      <c r="C36">
        <v>2014</v>
      </c>
      <c r="D36" s="23">
        <v>3.0700000000000002E-2</v>
      </c>
    </row>
    <row r="37" spans="3:6">
      <c r="C37">
        <v>2015</v>
      </c>
      <c r="D37" s="23">
        <v>3.0800000000000001E-2</v>
      </c>
    </row>
    <row r="38" spans="3:6">
      <c r="C38">
        <v>2016</v>
      </c>
      <c r="D38" s="23">
        <v>2.81E-2</v>
      </c>
    </row>
    <row r="39" spans="3:6">
      <c r="C39">
        <v>2017</v>
      </c>
      <c r="D39" s="23">
        <v>3.39E-2</v>
      </c>
    </row>
    <row r="40" spans="3:6">
      <c r="C40">
        <v>2018</v>
      </c>
      <c r="D40" s="23">
        <v>3.2899999999999999E-2</v>
      </c>
    </row>
    <row r="41" spans="3:6">
      <c r="C41">
        <v>2019</v>
      </c>
      <c r="D41" s="23">
        <v>2.5899999999999999E-2</v>
      </c>
    </row>
    <row r="42" spans="3:6">
      <c r="C42">
        <v>2020</v>
      </c>
      <c r="D42" s="23">
        <v>-3.0700000000000002E-2</v>
      </c>
    </row>
    <row r="43" spans="3:6">
      <c r="C43">
        <v>2021</v>
      </c>
      <c r="D43" s="23">
        <v>6.0199999999999997E-2</v>
      </c>
    </row>
    <row r="44" spans="3:6">
      <c r="C44">
        <v>2022</v>
      </c>
      <c r="D44" s="23">
        <v>3.0800000000000001E-2</v>
      </c>
    </row>
    <row r="45" spans="3:6">
      <c r="C45" t="s">
        <v>8</v>
      </c>
      <c r="D45" s="43">
        <f>AVERAGE(D22:D44)</f>
        <v>2.9382608695652186E-2</v>
      </c>
    </row>
    <row r="46" spans="3:6">
      <c r="C46" s="34" t="s">
        <v>559</v>
      </c>
    </row>
  </sheetData>
  <mergeCells count="1">
    <mergeCell ref="C21:F21"/>
  </mergeCells>
  <hyperlinks>
    <hyperlink ref="C46" r:id="rId1" xr:uid="{BA559C82-9FAE-A84C-B3DF-39362742B1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D64C-9131-FB4A-BA6B-C83DA6DF6D6D}">
  <dimension ref="A1:P269"/>
  <sheetViews>
    <sheetView workbookViewId="0">
      <selection activeCell="J30" sqref="J30"/>
    </sheetView>
  </sheetViews>
  <sheetFormatPr baseColWidth="10" defaultRowHeight="16"/>
  <cols>
    <col min="1" max="1" width="15" customWidth="1"/>
    <col min="3" max="3" width="13.83203125" bestFit="1" customWidth="1"/>
    <col min="4" max="4" width="16.5" customWidth="1"/>
    <col min="6" max="6" width="18.33203125" bestFit="1" customWidth="1"/>
    <col min="8" max="8" width="16.83203125" bestFit="1" customWidth="1"/>
    <col min="9" max="9" width="17.83203125" bestFit="1" customWidth="1"/>
  </cols>
  <sheetData>
    <row r="1" spans="1:15">
      <c r="A1" s="33" t="s">
        <v>19</v>
      </c>
    </row>
    <row r="2" spans="1:15">
      <c r="A2" s="36" t="s">
        <v>22</v>
      </c>
      <c r="B2" s="36" t="s">
        <v>23</v>
      </c>
      <c r="C2" s="37" t="s">
        <v>553</v>
      </c>
      <c r="D2" s="36" t="s">
        <v>22</v>
      </c>
      <c r="E2" s="36" t="s">
        <v>23</v>
      </c>
      <c r="F2" s="36" t="s">
        <v>552</v>
      </c>
    </row>
    <row r="3" spans="1:15">
      <c r="A3" s="38" t="s">
        <v>24</v>
      </c>
      <c r="B3" s="38">
        <v>1153</v>
      </c>
      <c r="C3" s="39">
        <f>B3/B4-1</f>
        <v>2.7629233511586415E-2</v>
      </c>
      <c r="D3" s="38" t="s">
        <v>291</v>
      </c>
      <c r="E3" s="38">
        <v>1922.02</v>
      </c>
      <c r="F3" s="40">
        <f>E3/E4-1</f>
        <v>-1.0965713491789875E-2</v>
      </c>
      <c r="H3" s="352"/>
      <c r="I3" s="352"/>
    </row>
    <row r="4" spans="1:15">
      <c r="A4" s="38" t="s">
        <v>25</v>
      </c>
      <c r="B4" s="38">
        <v>1122</v>
      </c>
      <c r="C4" s="39">
        <f t="shared" ref="C4:C67" si="0">B4/B5-1</f>
        <v>6.2780269058295701E-3</v>
      </c>
      <c r="D4" s="38" t="s">
        <v>292</v>
      </c>
      <c r="E4" s="38">
        <v>1943.33</v>
      </c>
      <c r="F4" s="40">
        <f t="shared" ref="F4:F66" si="1">E4/E5-1</f>
        <v>-4.074248698290428E-3</v>
      </c>
      <c r="H4" s="357"/>
      <c r="I4" s="357"/>
    </row>
    <row r="5" spans="1:15">
      <c r="A5" s="38" t="s">
        <v>26</v>
      </c>
      <c r="B5" s="38">
        <v>1115</v>
      </c>
      <c r="C5" s="39">
        <f t="shared" si="0"/>
        <v>5.9352227489952725E-2</v>
      </c>
      <c r="D5" s="38" t="s">
        <v>293</v>
      </c>
      <c r="E5" s="38">
        <v>1951.28</v>
      </c>
      <c r="F5" s="40">
        <f t="shared" si="1"/>
        <v>1.2494811124948102E-2</v>
      </c>
    </row>
    <row r="6" spans="1:15">
      <c r="A6" s="38" t="s">
        <v>27</v>
      </c>
      <c r="B6" s="38">
        <v>1052.53</v>
      </c>
      <c r="C6" s="39">
        <f t="shared" si="0"/>
        <v>-4.2289498580889706E-3</v>
      </c>
      <c r="D6" s="38" t="s">
        <v>294</v>
      </c>
      <c r="E6" s="38">
        <v>1927.2</v>
      </c>
      <c r="F6" s="40">
        <f t="shared" si="1"/>
        <v>-1.6845048004815788E-2</v>
      </c>
    </row>
    <row r="7" spans="1:15">
      <c r="A7" s="38" t="s">
        <v>28</v>
      </c>
      <c r="B7" s="38">
        <v>1057</v>
      </c>
      <c r="C7" s="39">
        <f t="shared" si="0"/>
        <v>-3.6234659080547793E-2</v>
      </c>
      <c r="D7" s="38" t="s">
        <v>295</v>
      </c>
      <c r="E7" s="38">
        <v>1960.22</v>
      </c>
      <c r="F7" s="40">
        <f t="shared" si="1"/>
        <v>1.9206771764901598E-2</v>
      </c>
      <c r="J7" s="34"/>
    </row>
    <row r="8" spans="1:15">
      <c r="A8" s="38" t="s">
        <v>29</v>
      </c>
      <c r="B8" s="38">
        <v>1096.74</v>
      </c>
      <c r="C8" s="39">
        <f t="shared" si="0"/>
        <v>-1.4724246044936384E-2</v>
      </c>
      <c r="D8" s="38" t="s">
        <v>296</v>
      </c>
      <c r="E8" s="38">
        <v>1923.28</v>
      </c>
      <c r="F8" s="40">
        <f t="shared" si="1"/>
        <v>1.4902060114825977E-2</v>
      </c>
    </row>
    <row r="9" spans="1:15">
      <c r="A9" s="38" t="s">
        <v>30</v>
      </c>
      <c r="B9" s="38">
        <v>1113.1300000000001</v>
      </c>
      <c r="C9" s="39">
        <f t="shared" si="0"/>
        <v>-1.9683305738542156E-2</v>
      </c>
      <c r="D9" s="38" t="s">
        <v>297</v>
      </c>
      <c r="E9" s="38">
        <v>1895.04</v>
      </c>
      <c r="F9" s="40">
        <f t="shared" si="1"/>
        <v>-5.3536562322856751E-3</v>
      </c>
    </row>
    <row r="10" spans="1:15">
      <c r="A10" s="38" t="s">
        <v>31</v>
      </c>
      <c r="B10" s="38">
        <v>1135.48</v>
      </c>
      <c r="C10" s="39">
        <f t="shared" si="0"/>
        <v>-3.7067817739295683E-2</v>
      </c>
      <c r="D10" s="38" t="s">
        <v>298</v>
      </c>
      <c r="E10" s="38">
        <v>1905.24</v>
      </c>
      <c r="F10" s="40">
        <f t="shared" si="1"/>
        <v>9.5591352267909713E-3</v>
      </c>
    </row>
    <row r="11" spans="1:15">
      <c r="A11" s="38" t="s">
        <v>32</v>
      </c>
      <c r="B11" s="38">
        <v>1179.19</v>
      </c>
      <c r="C11" s="39">
        <f t="shared" si="0"/>
        <v>-3.5750791145709893E-2</v>
      </c>
      <c r="D11" s="38" t="s">
        <v>299</v>
      </c>
      <c r="E11" s="38">
        <v>1887.2</v>
      </c>
      <c r="F11" s="40">
        <f t="shared" si="1"/>
        <v>1.5519059816182068E-2</v>
      </c>
    </row>
    <row r="12" spans="1:15">
      <c r="A12" s="38" t="s">
        <v>33</v>
      </c>
      <c r="B12" s="38">
        <v>1222.9100000000001</v>
      </c>
      <c r="C12" s="39">
        <f t="shared" si="0"/>
        <v>-5.2466323940910664E-3</v>
      </c>
      <c r="D12" s="38" t="s">
        <v>300</v>
      </c>
      <c r="E12" s="38">
        <v>1858.36</v>
      </c>
      <c r="F12" s="40">
        <f t="shared" si="1"/>
        <v>1.0104523935057008E-2</v>
      </c>
    </row>
    <row r="13" spans="1:15">
      <c r="A13" s="38" t="s">
        <v>34</v>
      </c>
      <c r="B13" s="38">
        <v>1229.3599999999999</v>
      </c>
      <c r="C13" s="39">
        <f t="shared" si="0"/>
        <v>6.0970120548975437E-3</v>
      </c>
      <c r="D13" s="38" t="s">
        <v>301</v>
      </c>
      <c r="E13" s="38">
        <v>1839.77</v>
      </c>
      <c r="F13" s="40">
        <f t="shared" si="1"/>
        <v>1.2542790784708657E-2</v>
      </c>
      <c r="O13" s="34" t="s">
        <v>286</v>
      </c>
    </row>
    <row r="14" spans="1:15">
      <c r="A14" s="38" t="s">
        <v>35</v>
      </c>
      <c r="B14" s="38">
        <v>1221.9100000000001</v>
      </c>
      <c r="C14" s="39">
        <f t="shared" si="0"/>
        <v>-2.9590921003518234E-2</v>
      </c>
      <c r="D14" s="38" t="s">
        <v>302</v>
      </c>
      <c r="E14" s="38">
        <v>1816.98</v>
      </c>
      <c r="F14" s="40">
        <f t="shared" si="1"/>
        <v>-3.0918157817541814E-2</v>
      </c>
    </row>
    <row r="15" spans="1:15">
      <c r="A15" s="38" t="s">
        <v>36</v>
      </c>
      <c r="B15" s="38">
        <v>1259.17</v>
      </c>
      <c r="C15" s="39">
        <f t="shared" si="0"/>
        <v>3.1328833994037186E-2</v>
      </c>
      <c r="D15" s="38" t="s">
        <v>303</v>
      </c>
      <c r="E15" s="38">
        <v>1874.95</v>
      </c>
      <c r="F15" s="40">
        <f t="shared" si="1"/>
        <v>1.48029876596667E-2</v>
      </c>
    </row>
    <row r="16" spans="1:15">
      <c r="A16" s="38" t="s">
        <v>37</v>
      </c>
      <c r="B16" s="38">
        <v>1220.92</v>
      </c>
      <c r="C16" s="39">
        <f t="shared" si="0"/>
        <v>3.6698649910843262E-2</v>
      </c>
      <c r="D16" s="38" t="s">
        <v>304</v>
      </c>
      <c r="E16" s="38">
        <v>1847.6</v>
      </c>
      <c r="F16" s="40">
        <f t="shared" si="1"/>
        <v>1.4495936745003268E-2</v>
      </c>
      <c r="H16" s="360" t="s">
        <v>556</v>
      </c>
      <c r="I16" s="360"/>
      <c r="J16" s="360"/>
      <c r="L16" s="355" t="s">
        <v>728</v>
      </c>
      <c r="M16" s="355"/>
    </row>
    <row r="17" spans="1:16">
      <c r="A17" s="38" t="s">
        <v>38</v>
      </c>
      <c r="B17" s="38">
        <v>1177.7</v>
      </c>
      <c r="C17" s="39">
        <f t="shared" si="0"/>
        <v>-2.1098297731720894E-3</v>
      </c>
      <c r="D17" s="38" t="s">
        <v>305</v>
      </c>
      <c r="E17" s="38">
        <v>1821.2</v>
      </c>
      <c r="F17" s="40">
        <f t="shared" si="1"/>
        <v>9.6630945187026196E-3</v>
      </c>
      <c r="H17" s="1" t="s">
        <v>555</v>
      </c>
      <c r="I17" s="359">
        <v>1.1499999999999999</v>
      </c>
      <c r="J17" s="359"/>
      <c r="L17" s="356">
        <f>_xlfn.COVARIANCE.P($C$3:$C$262,$F$3:$F$262)/_xlfn.VAR.P($F$3:$F$262)</f>
        <v>1.1098372379213717</v>
      </c>
      <c r="M17" s="356"/>
    </row>
    <row r="18" spans="1:16">
      <c r="A18" s="38" t="s">
        <v>39</v>
      </c>
      <c r="B18" s="38">
        <v>1180.19</v>
      </c>
      <c r="C18" s="39">
        <f t="shared" si="0"/>
        <v>5.8827223627783587E-2</v>
      </c>
      <c r="D18" s="38" t="s">
        <v>306</v>
      </c>
      <c r="E18" s="38">
        <v>1803.77</v>
      </c>
      <c r="F18" s="40">
        <f t="shared" si="1"/>
        <v>2.28178709746929E-2</v>
      </c>
      <c r="H18" s="1" t="s">
        <v>554</v>
      </c>
      <c r="I18" s="358">
        <f>_xlfn.COVARIANCE.P($C$3:$C$159,$F$3:$F$159)/_xlfn.VAR.P($F$3:$F$159)</f>
        <v>1.2750176437297522</v>
      </c>
      <c r="J18" s="358"/>
    </row>
    <row r="19" spans="1:16">
      <c r="A19" s="38" t="s">
        <v>40</v>
      </c>
      <c r="B19" s="38">
        <v>1114.6199999999999</v>
      </c>
      <c r="C19" s="39">
        <f t="shared" si="0"/>
        <v>3.8885264237114248E-2</v>
      </c>
      <c r="D19" s="38" t="s">
        <v>307</v>
      </c>
      <c r="E19" s="38">
        <v>1763.53</v>
      </c>
      <c r="F19" s="40">
        <f t="shared" si="1"/>
        <v>1.4946246460553869E-2</v>
      </c>
      <c r="H19" s="1" t="s">
        <v>727</v>
      </c>
      <c r="I19" s="358">
        <f>AVERAGE(I17:J18)</f>
        <v>1.2125088218648761</v>
      </c>
      <c r="J19" s="358"/>
    </row>
    <row r="20" spans="1:16">
      <c r="A20" s="38" t="s">
        <v>41</v>
      </c>
      <c r="B20" s="38">
        <v>1072.9000000000001</v>
      </c>
      <c r="C20" s="39">
        <f t="shared" si="0"/>
        <v>2.3700933152682291E-2</v>
      </c>
      <c r="D20" s="38" t="s">
        <v>308</v>
      </c>
      <c r="E20" s="38">
        <v>1737.56</v>
      </c>
      <c r="F20" s="40">
        <f t="shared" si="1"/>
        <v>3.3897522073811359E-3</v>
      </c>
      <c r="H20" s="1"/>
      <c r="I20" s="203"/>
      <c r="J20" s="204"/>
      <c r="K20" s="44"/>
    </row>
    <row r="21" spans="1:16">
      <c r="A21" s="38" t="s">
        <v>42</v>
      </c>
      <c r="B21" s="38">
        <v>1048.06</v>
      </c>
      <c r="C21" s="39">
        <f t="shared" si="0"/>
        <v>-1.4944170833490089E-2</v>
      </c>
      <c r="D21" s="38" t="s">
        <v>309</v>
      </c>
      <c r="E21" s="38">
        <v>1731.69</v>
      </c>
      <c r="F21" s="40">
        <f t="shared" si="1"/>
        <v>1.1123178251120969E-2</v>
      </c>
    </row>
    <row r="22" spans="1:16">
      <c r="A22" s="38" t="s">
        <v>43</v>
      </c>
      <c r="B22" s="38">
        <v>1063.96</v>
      </c>
      <c r="C22" s="39">
        <f t="shared" si="0"/>
        <v>-1.2905081317784006E-2</v>
      </c>
      <c r="D22" s="38" t="s">
        <v>310</v>
      </c>
      <c r="E22" s="38">
        <v>1712.64</v>
      </c>
      <c r="F22" s="40">
        <f t="shared" si="1"/>
        <v>1.9071242204775629E-3</v>
      </c>
    </row>
    <row r="23" spans="1:16">
      <c r="A23" s="38" t="s">
        <v>44</v>
      </c>
      <c r="B23" s="38">
        <v>1077.8699999999999</v>
      </c>
      <c r="C23" s="39">
        <f t="shared" si="0"/>
        <v>1.4026868367577272E-2</v>
      </c>
      <c r="D23" s="38" t="s">
        <v>311</v>
      </c>
      <c r="E23" s="38">
        <v>1709.38</v>
      </c>
      <c r="F23" s="40">
        <f t="shared" si="1"/>
        <v>4.0230759400463834E-2</v>
      </c>
    </row>
    <row r="24" spans="1:16">
      <c r="A24" s="38" t="s">
        <v>45</v>
      </c>
      <c r="B24" s="38">
        <v>1062.96</v>
      </c>
      <c r="C24" s="39">
        <f t="shared" si="0"/>
        <v>-1.2008774212737494E-2</v>
      </c>
      <c r="D24" s="38" t="s">
        <v>312</v>
      </c>
      <c r="E24" s="38">
        <v>1643.27</v>
      </c>
      <c r="F24" s="40">
        <f t="shared" si="1"/>
        <v>5.1441713663555877E-3</v>
      </c>
      <c r="P24" s="42"/>
    </row>
    <row r="25" spans="1:16">
      <c r="A25" s="38" t="s">
        <v>46</v>
      </c>
      <c r="B25" s="38">
        <v>1075.8800000000001</v>
      </c>
      <c r="C25" s="39">
        <f t="shared" si="0"/>
        <v>9.9497199852839113E-2</v>
      </c>
      <c r="D25" s="38" t="s">
        <v>313</v>
      </c>
      <c r="E25" s="38">
        <v>1634.86</v>
      </c>
      <c r="F25" s="40">
        <f t="shared" si="1"/>
        <v>2.4849237095823762E-2</v>
      </c>
    </row>
    <row r="26" spans="1:16">
      <c r="A26" s="38" t="s">
        <v>47</v>
      </c>
      <c r="B26" s="38">
        <v>978.52</v>
      </c>
      <c r="C26" s="39">
        <f t="shared" si="0"/>
        <v>-0.11698671671960736</v>
      </c>
      <c r="D26" s="38" t="s">
        <v>314</v>
      </c>
      <c r="E26" s="38">
        <v>1595.22</v>
      </c>
      <c r="F26" s="40">
        <f t="shared" si="1"/>
        <v>-1.038487307377356E-2</v>
      </c>
    </row>
    <row r="27" spans="1:16">
      <c r="A27" s="38" t="s">
        <v>48</v>
      </c>
      <c r="B27" s="38">
        <v>1108.1600000000001</v>
      </c>
      <c r="C27" s="39">
        <f t="shared" si="0"/>
        <v>-0.13460156811295398</v>
      </c>
      <c r="D27" s="38" t="s">
        <v>315</v>
      </c>
      <c r="E27" s="38">
        <v>1611.96</v>
      </c>
      <c r="F27" s="40">
        <f t="shared" si="1"/>
        <v>-5.1291558521814329E-2</v>
      </c>
      <c r="H27" s="351"/>
    </row>
    <row r="28" spans="1:16">
      <c r="A28" s="38" t="s">
        <v>49</v>
      </c>
      <c r="B28" s="38">
        <v>1280.52</v>
      </c>
      <c r="C28" s="39">
        <f t="shared" si="0"/>
        <v>-1.1509691762580876E-2</v>
      </c>
      <c r="D28" s="38" t="s">
        <v>316</v>
      </c>
      <c r="E28" s="38">
        <v>1699.11</v>
      </c>
      <c r="F28" s="40">
        <f t="shared" si="1"/>
        <v>1.3274890419536556E-2</v>
      </c>
      <c r="I28" s="353" t="s">
        <v>725</v>
      </c>
      <c r="J28" s="354"/>
      <c r="M28" s="351"/>
    </row>
    <row r="29" spans="1:16">
      <c r="A29" s="38" t="s">
        <v>50</v>
      </c>
      <c r="B29" s="38">
        <v>1295.43</v>
      </c>
      <c r="C29" s="39">
        <f t="shared" si="0"/>
        <v>-1.1371181305472544E-2</v>
      </c>
      <c r="D29" s="38" t="s">
        <v>317</v>
      </c>
      <c r="E29" s="38">
        <v>1676.85</v>
      </c>
      <c r="F29" s="40">
        <f t="shared" si="1"/>
        <v>-1.3959860989421369E-2</v>
      </c>
      <c r="I29" t="s">
        <v>726</v>
      </c>
      <c r="J29" s="351">
        <f>_xlfn.COVARIANCE.P($C$3:$C$29,$F$3:$F$29)/_xlfn.VAR.P($F$3:$F$29)</f>
        <v>1.5742917245961128</v>
      </c>
    </row>
    <row r="30" spans="1:16">
      <c r="A30" s="38" t="s">
        <v>51</v>
      </c>
      <c r="B30" s="38">
        <v>1310.33</v>
      </c>
      <c r="C30" s="39">
        <f t="shared" si="0"/>
        <v>1.2674565084664469E-2</v>
      </c>
      <c r="D30" s="38" t="s">
        <v>318</v>
      </c>
      <c r="E30" s="38">
        <v>1700.59</v>
      </c>
      <c r="F30" s="40">
        <f t="shared" si="1"/>
        <v>-7.5864121522650763E-3</v>
      </c>
      <c r="I30" t="s">
        <v>724</v>
      </c>
      <c r="J30" s="351">
        <f>_xlfn.COVARIANCE.P($C$3:$C$107,$F$3:$F$107)/_xlfn.VAR.P($F$3:$F$107)</f>
        <v>1.3367328191824315</v>
      </c>
    </row>
    <row r="31" spans="1:16">
      <c r="A31" s="38" t="s">
        <v>52</v>
      </c>
      <c r="B31" s="38">
        <v>1293.93</v>
      </c>
      <c r="C31" s="39">
        <f t="shared" si="0"/>
        <v>-6.1065535994101472E-3</v>
      </c>
      <c r="D31" s="38" t="s">
        <v>319</v>
      </c>
      <c r="E31" s="38">
        <v>1713.59</v>
      </c>
      <c r="F31" s="40">
        <f t="shared" si="1"/>
        <v>-1.6709607450465125E-2</v>
      </c>
    </row>
    <row r="32" spans="1:16">
      <c r="A32" s="38" t="s">
        <v>53</v>
      </c>
      <c r="B32" s="38">
        <v>1301.8800000000001</v>
      </c>
      <c r="C32" s="39">
        <f t="shared" si="0"/>
        <v>1.0015749008898567E-2</v>
      </c>
      <c r="D32" s="38" t="s">
        <v>320</v>
      </c>
      <c r="E32" s="38">
        <v>1742.71</v>
      </c>
      <c r="F32" s="40">
        <f t="shared" si="1"/>
        <v>9.6579453546847827E-3</v>
      </c>
    </row>
    <row r="33" spans="1:6">
      <c r="A33" s="38" t="s">
        <v>54</v>
      </c>
      <c r="B33" s="38">
        <v>1288.97</v>
      </c>
      <c r="C33" s="39">
        <f t="shared" si="0"/>
        <v>-1.2555923270208935E-2</v>
      </c>
      <c r="D33" s="38" t="s">
        <v>321</v>
      </c>
      <c r="E33" s="38">
        <v>1726.04</v>
      </c>
      <c r="F33" s="40">
        <f t="shared" si="1"/>
        <v>-1.5738692091877504E-2</v>
      </c>
    </row>
    <row r="34" spans="1:6">
      <c r="A34" s="38" t="s">
        <v>55</v>
      </c>
      <c r="B34" s="38">
        <v>1305.3599999999999</v>
      </c>
      <c r="C34" s="39">
        <f t="shared" si="0"/>
        <v>7.6654083972116371E-3</v>
      </c>
      <c r="D34" s="38" t="s">
        <v>322</v>
      </c>
      <c r="E34" s="38">
        <v>1753.64</v>
      </c>
      <c r="F34" s="40">
        <f t="shared" si="1"/>
        <v>-6.1716151043053058E-3</v>
      </c>
    </row>
    <row r="35" spans="1:6">
      <c r="A35" s="38" t="s">
        <v>56</v>
      </c>
      <c r="B35" s="38">
        <v>1295.43</v>
      </c>
      <c r="C35" s="39">
        <f t="shared" si="0"/>
        <v>-2.6714912618369668E-3</v>
      </c>
      <c r="D35" s="38" t="s">
        <v>323</v>
      </c>
      <c r="E35" s="38">
        <v>1764.53</v>
      </c>
      <c r="F35" s="40">
        <f t="shared" si="1"/>
        <v>1.254396988529094E-2</v>
      </c>
    </row>
    <row r="36" spans="1:6">
      <c r="A36" s="38" t="s">
        <v>57</v>
      </c>
      <c r="B36" s="38">
        <v>1298.9000000000001</v>
      </c>
      <c r="C36" s="39">
        <f t="shared" si="0"/>
        <v>-1.3578578046446577E-2</v>
      </c>
      <c r="D36" s="38" t="s">
        <v>324</v>
      </c>
      <c r="E36" s="38">
        <v>1742.67</v>
      </c>
      <c r="F36" s="40">
        <f t="shared" si="1"/>
        <v>-2.3905676758058547E-2</v>
      </c>
    </row>
    <row r="37" spans="1:6">
      <c r="A37" s="38" t="s">
        <v>58</v>
      </c>
      <c r="B37" s="38">
        <v>1316.78</v>
      </c>
      <c r="C37" s="39">
        <f t="shared" si="0"/>
        <v>-4.8819564100238688E-3</v>
      </c>
      <c r="D37" s="38" t="s">
        <v>325</v>
      </c>
      <c r="E37" s="38">
        <v>1785.35</v>
      </c>
      <c r="F37" s="40">
        <f t="shared" si="1"/>
        <v>1.6586760200886008E-2</v>
      </c>
    </row>
    <row r="38" spans="1:6">
      <c r="A38" s="38" t="s">
        <v>59</v>
      </c>
      <c r="B38" s="38">
        <v>1323.24</v>
      </c>
      <c r="C38" s="39">
        <f t="shared" si="0"/>
        <v>-1.223472152758609E-2</v>
      </c>
      <c r="D38" s="38" t="s">
        <v>326</v>
      </c>
      <c r="E38" s="38">
        <v>1756.22</v>
      </c>
      <c r="F38" s="40">
        <f t="shared" si="1"/>
        <v>-2.1320939770852809E-2</v>
      </c>
    </row>
    <row r="39" spans="1:6">
      <c r="A39" s="38" t="s">
        <v>60</v>
      </c>
      <c r="B39" s="38">
        <v>1339.63</v>
      </c>
      <c r="C39" s="39">
        <f t="shared" si="0"/>
        <v>-8.5145904897186986E-2</v>
      </c>
      <c r="D39" s="38" t="s">
        <v>327</v>
      </c>
      <c r="E39" s="38">
        <v>1794.48</v>
      </c>
      <c r="F39" s="40">
        <f t="shared" si="1"/>
        <v>-2.6125842550281608E-2</v>
      </c>
    </row>
    <row r="40" spans="1:6">
      <c r="A40" s="38" t="s">
        <v>61</v>
      </c>
      <c r="B40" s="38">
        <v>1464.31</v>
      </c>
      <c r="C40" s="39">
        <f t="shared" si="0"/>
        <v>-6.7562956391187257E-4</v>
      </c>
      <c r="D40" s="38" t="s">
        <v>328</v>
      </c>
      <c r="E40" s="38">
        <v>1842.62</v>
      </c>
      <c r="F40" s="40">
        <f t="shared" si="1"/>
        <v>1.6831114937200686E-2</v>
      </c>
    </row>
    <row r="41" spans="1:6">
      <c r="A41" s="38" t="s">
        <v>62</v>
      </c>
      <c r="B41" s="38">
        <v>1465.3</v>
      </c>
      <c r="C41" s="39">
        <f t="shared" si="0"/>
        <v>4.6470936917506256E-2</v>
      </c>
      <c r="D41" s="38" t="s">
        <v>329</v>
      </c>
      <c r="E41" s="38">
        <v>1812.12</v>
      </c>
      <c r="F41" s="40">
        <f t="shared" si="1"/>
        <v>1.7136378179042344E-2</v>
      </c>
    </row>
    <row r="42" spans="1:6">
      <c r="A42" s="38" t="s">
        <v>63</v>
      </c>
      <c r="B42" s="38">
        <v>1400.23</v>
      </c>
      <c r="C42" s="39">
        <f t="shared" si="0"/>
        <v>-1.6402309669986903E-2</v>
      </c>
      <c r="D42" s="38" t="s">
        <v>330</v>
      </c>
      <c r="E42" s="38">
        <v>1781.59</v>
      </c>
      <c r="F42" s="40">
        <f t="shared" si="1"/>
        <v>-1.9347842839371632E-2</v>
      </c>
    </row>
    <row r="43" spans="1:6">
      <c r="A43" s="38" t="s">
        <v>64</v>
      </c>
      <c r="B43" s="38">
        <v>1423.58</v>
      </c>
      <c r="C43" s="39">
        <f t="shared" si="0"/>
        <v>5.4839689678934711E-2</v>
      </c>
      <c r="D43" s="38" t="s">
        <v>331</v>
      </c>
      <c r="E43" s="38">
        <v>1816.74</v>
      </c>
      <c r="F43" s="40">
        <f t="shared" si="1"/>
        <v>1.7804320544998253E-2</v>
      </c>
    </row>
    <row r="44" spans="1:6">
      <c r="A44" s="38" t="s">
        <v>65</v>
      </c>
      <c r="B44" s="38">
        <v>1349.57</v>
      </c>
      <c r="C44" s="39">
        <f t="shared" si="0"/>
        <v>1.4767212336188607E-3</v>
      </c>
      <c r="D44" s="38" t="s">
        <v>332</v>
      </c>
      <c r="E44" s="38">
        <v>1784.96</v>
      </c>
      <c r="F44" s="40">
        <f t="shared" si="1"/>
        <v>-2.9554400539329673E-2</v>
      </c>
    </row>
    <row r="45" spans="1:6">
      <c r="A45" s="38" t="s">
        <v>66</v>
      </c>
      <c r="B45" s="38">
        <v>1347.58</v>
      </c>
      <c r="C45" s="39">
        <f t="shared" si="0"/>
        <v>1.3446642099721684E-2</v>
      </c>
      <c r="D45" s="38" t="s">
        <v>333</v>
      </c>
      <c r="E45" s="38">
        <v>1839.32</v>
      </c>
      <c r="F45" s="40">
        <f t="shared" si="1"/>
        <v>9.7720585005929284E-3</v>
      </c>
    </row>
    <row r="46" spans="1:6">
      <c r="A46" s="38" t="s">
        <v>67</v>
      </c>
      <c r="B46" s="38">
        <v>1329.7</v>
      </c>
      <c r="C46" s="39">
        <f t="shared" si="0"/>
        <v>-1.8331081629790358E-2</v>
      </c>
      <c r="D46" s="38" t="s">
        <v>334</v>
      </c>
      <c r="E46" s="38">
        <v>1821.52</v>
      </c>
      <c r="F46" s="40">
        <f t="shared" si="1"/>
        <v>1.8645531397643023E-3</v>
      </c>
    </row>
    <row r="47" spans="1:6">
      <c r="A47" s="38" t="s">
        <v>68</v>
      </c>
      <c r="B47" s="38">
        <v>1354.53</v>
      </c>
      <c r="C47" s="39">
        <f t="shared" si="0"/>
        <v>2.0584534474574534E-2</v>
      </c>
      <c r="D47" s="38" t="s">
        <v>335</v>
      </c>
      <c r="E47" s="38">
        <v>1818.13</v>
      </c>
      <c r="F47" s="40">
        <f t="shared" si="1"/>
        <v>-6.2745612452925759E-3</v>
      </c>
    </row>
    <row r="48" spans="1:6">
      <c r="A48" s="38" t="s">
        <v>69</v>
      </c>
      <c r="B48" s="38">
        <v>1327.21</v>
      </c>
      <c r="C48" s="39">
        <f t="shared" si="0"/>
        <v>1.4810680205529891E-2</v>
      </c>
      <c r="D48" s="38" t="s">
        <v>336</v>
      </c>
      <c r="E48" s="38">
        <v>1829.61</v>
      </c>
      <c r="F48" s="40">
        <f t="shared" si="1"/>
        <v>-1.3416087441830427E-2</v>
      </c>
    </row>
    <row r="49" spans="1:6">
      <c r="A49" s="38" t="s">
        <v>70</v>
      </c>
      <c r="B49" s="38">
        <v>1307.8399999999999</v>
      </c>
      <c r="C49" s="39">
        <f t="shared" si="0"/>
        <v>-7.1662820357100143E-3</v>
      </c>
      <c r="D49" s="38" t="s">
        <v>337</v>
      </c>
      <c r="E49" s="38">
        <v>1854.49</v>
      </c>
      <c r="F49" s="40">
        <f t="shared" si="1"/>
        <v>-9.380091343714092E-3</v>
      </c>
    </row>
    <row r="50" spans="1:6">
      <c r="A50" s="38" t="s">
        <v>71</v>
      </c>
      <c r="B50" s="38">
        <v>1317.28</v>
      </c>
      <c r="C50" s="39">
        <f t="shared" si="0"/>
        <v>2.7110899720080184E-2</v>
      </c>
      <c r="D50" s="38" t="s">
        <v>338</v>
      </c>
      <c r="E50" s="38">
        <v>1872.05</v>
      </c>
      <c r="F50" s="40">
        <f t="shared" si="1"/>
        <v>3.6216802648038948E-2</v>
      </c>
    </row>
    <row r="51" spans="1:6">
      <c r="A51" s="38" t="s">
        <v>72</v>
      </c>
      <c r="B51" s="38">
        <v>1282.51</v>
      </c>
      <c r="C51" s="39">
        <f t="shared" si="0"/>
        <v>1.6131204690409184E-2</v>
      </c>
      <c r="D51" s="38" t="s">
        <v>339</v>
      </c>
      <c r="E51" s="38">
        <v>1806.62</v>
      </c>
      <c r="F51" s="40">
        <f t="shared" si="1"/>
        <v>-6.4891499213604042E-3</v>
      </c>
    </row>
    <row r="52" spans="1:6">
      <c r="A52" s="38" t="s">
        <v>73</v>
      </c>
      <c r="B52" s="38">
        <v>1262.1500000000001</v>
      </c>
      <c r="C52" s="39">
        <f t="shared" si="0"/>
        <v>7.1417172039578425E-3</v>
      </c>
      <c r="D52" s="38" t="s">
        <v>340</v>
      </c>
      <c r="E52" s="38">
        <v>1818.42</v>
      </c>
      <c r="F52" s="40">
        <f t="shared" si="1"/>
        <v>-1.0943466011073988E-2</v>
      </c>
    </row>
    <row r="53" spans="1:6">
      <c r="A53" s="38" t="s">
        <v>74</v>
      </c>
      <c r="B53" s="38">
        <v>1253.2</v>
      </c>
      <c r="C53" s="39">
        <f t="shared" si="0"/>
        <v>-3.5541914810721664E-3</v>
      </c>
      <c r="D53" s="38" t="s">
        <v>341</v>
      </c>
      <c r="E53" s="38">
        <v>1838.54</v>
      </c>
      <c r="F53" s="40">
        <f t="shared" si="1"/>
        <v>5.0950678431243013E-3</v>
      </c>
    </row>
    <row r="54" spans="1:6">
      <c r="A54" s="38" t="s">
        <v>75</v>
      </c>
      <c r="B54" s="38">
        <v>1257.67</v>
      </c>
      <c r="C54" s="39">
        <f t="shared" si="0"/>
        <v>1.8909043772735057E-2</v>
      </c>
      <c r="D54" s="38" t="s">
        <v>342</v>
      </c>
      <c r="E54" s="38">
        <v>1829.22</v>
      </c>
      <c r="F54" s="40">
        <f t="shared" si="1"/>
        <v>3.8285360745159647E-2</v>
      </c>
    </row>
    <row r="55" spans="1:6">
      <c r="A55" s="38" t="s">
        <v>76</v>
      </c>
      <c r="B55" s="38">
        <v>1234.33</v>
      </c>
      <c r="C55" s="39">
        <f t="shared" si="0"/>
        <v>-6.3326200124451781E-2</v>
      </c>
      <c r="D55" s="38" t="s">
        <v>343</v>
      </c>
      <c r="E55" s="38">
        <v>1761.77</v>
      </c>
      <c r="F55" s="40">
        <f t="shared" si="1"/>
        <v>-1.584242485182652E-2</v>
      </c>
    </row>
    <row r="56" spans="1:6">
      <c r="A56" s="38" t="s">
        <v>77</v>
      </c>
      <c r="B56" s="38">
        <v>1317.78</v>
      </c>
      <c r="C56" s="39">
        <f t="shared" si="0"/>
        <v>3.5119828446197099E-2</v>
      </c>
      <c r="D56" s="38" t="s">
        <v>344</v>
      </c>
      <c r="E56" s="38">
        <v>1790.13</v>
      </c>
      <c r="F56" s="40">
        <f t="shared" si="1"/>
        <v>3.158495263121508E-2</v>
      </c>
    </row>
    <row r="57" spans="1:6">
      <c r="A57" s="38" t="s">
        <v>78</v>
      </c>
      <c r="B57" s="38">
        <v>1273.07</v>
      </c>
      <c r="C57" s="39">
        <f t="shared" si="0"/>
        <v>3.3403143061237595E-2</v>
      </c>
      <c r="D57" s="38" t="s">
        <v>345</v>
      </c>
      <c r="E57" s="38">
        <v>1735.32</v>
      </c>
      <c r="F57" s="40">
        <f t="shared" si="1"/>
        <v>1.8063630443582612E-2</v>
      </c>
    </row>
    <row r="58" spans="1:6">
      <c r="A58" s="38" t="s">
        <v>79</v>
      </c>
      <c r="B58" s="38">
        <v>1231.92</v>
      </c>
      <c r="C58" s="39">
        <f t="shared" si="0"/>
        <v>-1.4227414579499054E-2</v>
      </c>
      <c r="D58" s="38" t="s">
        <v>346</v>
      </c>
      <c r="E58" s="38">
        <v>1704.53</v>
      </c>
      <c r="F58" s="40">
        <f t="shared" si="1"/>
        <v>-2.4427515868155503E-2</v>
      </c>
    </row>
    <row r="59" spans="1:6">
      <c r="A59" s="38" t="s">
        <v>80</v>
      </c>
      <c r="B59" s="38">
        <v>1249.7</v>
      </c>
      <c r="C59" s="39">
        <f t="shared" si="0"/>
        <v>-3.3263711611356106E-2</v>
      </c>
      <c r="D59" s="38" t="s">
        <v>347</v>
      </c>
      <c r="E59" s="38">
        <v>1747.21</v>
      </c>
      <c r="F59" s="40">
        <f t="shared" si="1"/>
        <v>-2.6526336902864878E-2</v>
      </c>
    </row>
    <row r="60" spans="1:6">
      <c r="A60" s="38" t="s">
        <v>81</v>
      </c>
      <c r="B60" s="38">
        <v>1292.7</v>
      </c>
      <c r="C60" s="39">
        <f t="shared" si="0"/>
        <v>2.1081981974865993E-2</v>
      </c>
      <c r="D60" s="38" t="s">
        <v>348</v>
      </c>
      <c r="E60" s="38">
        <v>1794.82</v>
      </c>
      <c r="F60" s="40">
        <f t="shared" si="1"/>
        <v>1.250098721695081E-2</v>
      </c>
    </row>
    <row r="61" spans="1:6">
      <c r="A61" s="38" t="s">
        <v>82</v>
      </c>
      <c r="B61" s="38">
        <v>1266.01</v>
      </c>
      <c r="C61" s="39">
        <f t="shared" si="0"/>
        <v>-7.3623961110240721E-3</v>
      </c>
      <c r="D61" s="38" t="s">
        <v>349</v>
      </c>
      <c r="E61" s="38">
        <v>1772.66</v>
      </c>
      <c r="F61" s="40">
        <f t="shared" si="1"/>
        <v>-6.7963177740798519E-3</v>
      </c>
    </row>
    <row r="62" spans="1:6">
      <c r="A62" s="38" t="s">
        <v>83</v>
      </c>
      <c r="B62" s="38">
        <v>1275.4000000000001</v>
      </c>
      <c r="C62" s="39">
        <f t="shared" si="0"/>
        <v>1.0970544405339622E-2</v>
      </c>
      <c r="D62" s="38" t="s">
        <v>350</v>
      </c>
      <c r="E62" s="38">
        <v>1784.79</v>
      </c>
      <c r="F62" s="40">
        <f t="shared" si="1"/>
        <v>1.0851650685590908E-2</v>
      </c>
    </row>
    <row r="63" spans="1:6">
      <c r="A63" s="38" t="s">
        <v>84</v>
      </c>
      <c r="B63" s="38">
        <v>1261.56</v>
      </c>
      <c r="C63" s="39">
        <f t="shared" si="0"/>
        <v>5.5075120551546508E-3</v>
      </c>
      <c r="D63" s="38" t="s">
        <v>351</v>
      </c>
      <c r="E63" s="38">
        <v>1765.63</v>
      </c>
      <c r="F63" s="40">
        <f t="shared" si="1"/>
        <v>-4.8118291744025932E-4</v>
      </c>
    </row>
    <row r="64" spans="1:6">
      <c r="A64" s="38" t="s">
        <v>85</v>
      </c>
      <c r="B64" s="38">
        <v>1254.6500000000001</v>
      </c>
      <c r="C64" s="39">
        <f t="shared" si="0"/>
        <v>0.12694463406747403</v>
      </c>
      <c r="D64" s="38" t="s">
        <v>352</v>
      </c>
      <c r="E64" s="38">
        <v>1766.48</v>
      </c>
      <c r="F64" s="40">
        <f t="shared" si="1"/>
        <v>4.4556006930277281E-2</v>
      </c>
    </row>
    <row r="65" spans="1:6">
      <c r="A65" s="38" t="s">
        <v>86</v>
      </c>
      <c r="B65" s="38">
        <v>1113.32</v>
      </c>
      <c r="C65" s="39">
        <f t="shared" si="0"/>
        <v>-6.6117619765688751E-3</v>
      </c>
      <c r="D65" s="38" t="s">
        <v>353</v>
      </c>
      <c r="E65" s="38">
        <v>1691.13</v>
      </c>
      <c r="F65" s="40">
        <f t="shared" si="1"/>
        <v>-1.8417050717992045E-2</v>
      </c>
    </row>
    <row r="66" spans="1:6">
      <c r="A66" s="38" t="s">
        <v>87</v>
      </c>
      <c r="B66" s="38">
        <v>1120.73</v>
      </c>
      <c r="C66" s="39">
        <f t="shared" si="0"/>
        <v>4.9510235424119475E-2</v>
      </c>
      <c r="D66" s="38" t="s">
        <v>354</v>
      </c>
      <c r="E66" s="38">
        <v>1722.86</v>
      </c>
      <c r="F66" s="40">
        <f t="shared" si="1"/>
        <v>7.493160312970204E-4</v>
      </c>
    </row>
    <row r="67" spans="1:6">
      <c r="A67" s="38" t="s">
        <v>88</v>
      </c>
      <c r="B67" s="38">
        <v>1067.8599999999999</v>
      </c>
      <c r="C67" s="39">
        <f t="shared" si="0"/>
        <v>1.3601890786213877E-2</v>
      </c>
      <c r="D67" s="38" t="s">
        <v>355</v>
      </c>
      <c r="E67" s="38">
        <v>1721.57</v>
      </c>
      <c r="F67" s="40">
        <f t="shared" ref="F67:F130" si="2">E67/E68-1</f>
        <v>-2.5319536020951272E-3</v>
      </c>
    </row>
    <row r="68" spans="1:6">
      <c r="A68" s="38" t="s">
        <v>89</v>
      </c>
      <c r="B68" s="38">
        <v>1053.53</v>
      </c>
      <c r="C68" s="39">
        <f t="shared" ref="C68:C131" si="3">B68/B69-1</f>
        <v>-2.7812895069532328E-2</v>
      </c>
      <c r="D68" s="38" t="s">
        <v>356</v>
      </c>
      <c r="E68" s="38">
        <v>1725.94</v>
      </c>
      <c r="F68" s="40">
        <f t="shared" si="2"/>
        <v>1.4924495460318932E-2</v>
      </c>
    </row>
    <row r="69" spans="1:6">
      <c r="A69" s="38" t="s">
        <v>90</v>
      </c>
      <c r="B69" s="38">
        <v>1083.67</v>
      </c>
      <c r="C69" s="39">
        <f t="shared" si="3"/>
        <v>7.8119914068095486E-3</v>
      </c>
      <c r="D69" s="38" t="s">
        <v>357</v>
      </c>
      <c r="E69" s="38">
        <v>1700.56</v>
      </c>
      <c r="F69" s="40">
        <f t="shared" si="2"/>
        <v>3.1618688060406352E-3</v>
      </c>
    </row>
    <row r="70" spans="1:6">
      <c r="A70" s="38" t="s">
        <v>91</v>
      </c>
      <c r="B70" s="38">
        <v>1075.27</v>
      </c>
      <c r="C70" s="39">
        <f t="shared" si="3"/>
        <v>3.6870402867490437E-3</v>
      </c>
      <c r="D70" s="38" t="s">
        <v>358</v>
      </c>
      <c r="E70" s="38">
        <v>1695.2</v>
      </c>
      <c r="F70" s="40">
        <f t="shared" si="2"/>
        <v>1.1298963168004938E-2</v>
      </c>
    </row>
    <row r="71" spans="1:6">
      <c r="A71" s="38" t="s">
        <v>92</v>
      </c>
      <c r="B71" s="38">
        <v>1071.32</v>
      </c>
      <c r="C71" s="39">
        <f t="shared" si="3"/>
        <v>-2.7553338049670639E-3</v>
      </c>
      <c r="D71" s="38" t="s">
        <v>359</v>
      </c>
      <c r="E71" s="38">
        <v>1676.26</v>
      </c>
      <c r="F71" s="40">
        <f t="shared" si="2"/>
        <v>-2.546989366711816E-2</v>
      </c>
    </row>
    <row r="72" spans="1:6">
      <c r="A72" s="38" t="s">
        <v>93</v>
      </c>
      <c r="B72" s="38">
        <v>1074.28</v>
      </c>
      <c r="C72" s="39">
        <f t="shared" si="3"/>
        <v>-3.378183911354149E-2</v>
      </c>
      <c r="D72" s="38" t="s">
        <v>360</v>
      </c>
      <c r="E72" s="38">
        <v>1720.07</v>
      </c>
      <c r="F72" s="40">
        <f t="shared" si="2"/>
        <v>1.2748271124873867E-3</v>
      </c>
    </row>
    <row r="73" spans="1:6">
      <c r="A73" s="38" t="s">
        <v>94</v>
      </c>
      <c r="B73" s="38">
        <v>1111.8399999999999</v>
      </c>
      <c r="C73" s="39">
        <f t="shared" si="3"/>
        <v>1.3419192146619796E-3</v>
      </c>
      <c r="D73" s="38" t="s">
        <v>361</v>
      </c>
      <c r="E73" s="38">
        <v>1717.88</v>
      </c>
      <c r="F73" s="40">
        <f t="shared" si="2"/>
        <v>2.3577289058636541E-2</v>
      </c>
    </row>
    <row r="74" spans="1:6">
      <c r="A74" s="38" t="s">
        <v>95</v>
      </c>
      <c r="B74" s="38">
        <v>1110.3499999999999</v>
      </c>
      <c r="C74" s="39">
        <f t="shared" si="3"/>
        <v>3.2624364113199356E-2</v>
      </c>
      <c r="D74" s="38" t="s">
        <v>362</v>
      </c>
      <c r="E74" s="38">
        <v>1678.31</v>
      </c>
      <c r="F74" s="40">
        <f t="shared" si="2"/>
        <v>1.8886595434676856E-2</v>
      </c>
    </row>
    <row r="75" spans="1:6">
      <c r="A75" s="38" t="s">
        <v>96</v>
      </c>
      <c r="B75" s="38">
        <v>1075.27</v>
      </c>
      <c r="C75" s="39">
        <f t="shared" si="3"/>
        <v>-2.334305203593201E-2</v>
      </c>
      <c r="D75" s="38" t="s">
        <v>363</v>
      </c>
      <c r="E75" s="38">
        <v>1647.2</v>
      </c>
      <c r="F75" s="40">
        <f t="shared" si="2"/>
        <v>-1.2002087319533783E-2</v>
      </c>
    </row>
    <row r="76" spans="1:6">
      <c r="A76" s="38" t="s">
        <v>97</v>
      </c>
      <c r="B76" s="38">
        <v>1100.97</v>
      </c>
      <c r="C76" s="39">
        <f t="shared" si="3"/>
        <v>9.1095584956147002E-2</v>
      </c>
      <c r="D76" s="38" t="s">
        <v>364</v>
      </c>
      <c r="E76" s="38">
        <v>1667.21</v>
      </c>
      <c r="F76" s="40">
        <f t="shared" si="2"/>
        <v>5.4095406695539472E-2</v>
      </c>
    </row>
    <row r="77" spans="1:6">
      <c r="A77" s="38" t="s">
        <v>98</v>
      </c>
      <c r="B77" s="38">
        <v>1009.05</v>
      </c>
      <c r="C77" s="39">
        <f t="shared" si="3"/>
        <v>1.3397475168472672E-2</v>
      </c>
      <c r="D77" s="38" t="s">
        <v>365</v>
      </c>
      <c r="E77" s="38">
        <v>1581.65</v>
      </c>
      <c r="F77" s="40">
        <f t="shared" si="2"/>
        <v>9.5230192821993409E-3</v>
      </c>
    </row>
    <row r="78" spans="1:6">
      <c r="A78" s="38" t="s">
        <v>99</v>
      </c>
      <c r="B78" s="38">
        <v>995.71</v>
      </c>
      <c r="C78" s="39">
        <f t="shared" si="3"/>
        <v>5.8522739353220166E-2</v>
      </c>
      <c r="D78" s="38" t="s">
        <v>366</v>
      </c>
      <c r="E78" s="38">
        <v>1566.73</v>
      </c>
      <c r="F78" s="40">
        <f t="shared" si="2"/>
        <v>5.1256760202369911E-2</v>
      </c>
    </row>
    <row r="79" spans="1:6">
      <c r="A79" s="38" t="s">
        <v>100</v>
      </c>
      <c r="B79" s="38">
        <v>940.66</v>
      </c>
      <c r="C79" s="39">
        <f t="shared" si="3"/>
        <v>3.7488832761644275E-2</v>
      </c>
      <c r="D79" s="38" t="s">
        <v>367</v>
      </c>
      <c r="E79" s="38">
        <v>1490.34</v>
      </c>
      <c r="F79" s="40">
        <f t="shared" si="2"/>
        <v>-2.0289680387312048E-3</v>
      </c>
    </row>
    <row r="80" spans="1:6">
      <c r="A80" s="38" t="s">
        <v>101</v>
      </c>
      <c r="B80" s="38">
        <v>906.67</v>
      </c>
      <c r="C80" s="39">
        <f t="shared" si="3"/>
        <v>3.4043475285691294E-2</v>
      </c>
      <c r="D80" s="38" t="s">
        <v>368</v>
      </c>
      <c r="E80" s="38">
        <v>1493.37</v>
      </c>
      <c r="F80" s="40">
        <f t="shared" si="2"/>
        <v>2.6046748107127593E-2</v>
      </c>
    </row>
    <row r="81" spans="1:6">
      <c r="A81" s="38" t="s">
        <v>102</v>
      </c>
      <c r="B81" s="38">
        <v>876.82</v>
      </c>
      <c r="C81" s="39">
        <f t="shared" si="3"/>
        <v>-9.8247357484866349E-3</v>
      </c>
      <c r="D81" s="38" t="s">
        <v>369</v>
      </c>
      <c r="E81" s="38">
        <v>1455.46</v>
      </c>
      <c r="F81" s="40">
        <f t="shared" si="2"/>
        <v>1.1375244077854729E-2</v>
      </c>
    </row>
    <row r="82" spans="1:6">
      <c r="A82" s="38" t="s">
        <v>103</v>
      </c>
      <c r="B82" s="38">
        <v>885.52</v>
      </c>
      <c r="C82" s="39">
        <f t="shared" si="3"/>
        <v>3.1545594333908022E-2</v>
      </c>
      <c r="D82" s="38" t="s">
        <v>370</v>
      </c>
      <c r="E82" s="38">
        <v>1439.09</v>
      </c>
      <c r="F82" s="40">
        <f t="shared" si="2"/>
        <v>-1.2739596339338521E-2</v>
      </c>
    </row>
    <row r="83" spans="1:6">
      <c r="A83" s="38" t="s">
        <v>104</v>
      </c>
      <c r="B83" s="38">
        <v>858.44</v>
      </c>
      <c r="C83" s="39">
        <f t="shared" si="3"/>
        <v>-0.10324150970990409</v>
      </c>
      <c r="D83" s="38" t="s">
        <v>371</v>
      </c>
      <c r="E83" s="38">
        <v>1457.66</v>
      </c>
      <c r="F83" s="40">
        <f t="shared" si="2"/>
        <v>-5.6658965448062037E-2</v>
      </c>
    </row>
    <row r="84" spans="1:6">
      <c r="A84" s="38" t="s">
        <v>105</v>
      </c>
      <c r="B84" s="38">
        <v>957.27</v>
      </c>
      <c r="C84" s="39">
        <f t="shared" si="3"/>
        <v>-9.897215790365399E-2</v>
      </c>
      <c r="D84" s="38" t="s">
        <v>372</v>
      </c>
      <c r="E84" s="38">
        <v>1545.21</v>
      </c>
      <c r="F84" s="40">
        <f t="shared" si="2"/>
        <v>-6.3293364532437724E-2</v>
      </c>
    </row>
    <row r="85" spans="1:6">
      <c r="A85" s="38" t="s">
        <v>106</v>
      </c>
      <c r="B85" s="38">
        <v>1062.42</v>
      </c>
      <c r="C85" s="39">
        <f t="shared" si="3"/>
        <v>9.8665449982890951E-3</v>
      </c>
      <c r="D85" s="38" t="s">
        <v>373</v>
      </c>
      <c r="E85" s="38">
        <v>1649.62</v>
      </c>
      <c r="F85" s="40">
        <f t="shared" si="2"/>
        <v>1.1577566012975549E-2</v>
      </c>
    </row>
    <row r="86" spans="1:6">
      <c r="A86" s="38" t="s">
        <v>107</v>
      </c>
      <c r="B86" s="38">
        <v>1052.04</v>
      </c>
      <c r="C86" s="39">
        <f t="shared" si="3"/>
        <v>-6.1709015991366689E-2</v>
      </c>
      <c r="D86" s="38" t="s">
        <v>374</v>
      </c>
      <c r="E86" s="38">
        <v>1630.74</v>
      </c>
      <c r="F86" s="40">
        <f t="shared" si="2"/>
        <v>-3.7621939344581579E-2</v>
      </c>
    </row>
    <row r="87" spans="1:6">
      <c r="A87" s="38" t="s">
        <v>108</v>
      </c>
      <c r="B87" s="38">
        <v>1121.23</v>
      </c>
      <c r="C87" s="39">
        <f t="shared" si="3"/>
        <v>-6.9317861115261392E-2</v>
      </c>
      <c r="D87" s="38" t="s">
        <v>375</v>
      </c>
      <c r="E87" s="38">
        <v>1694.49</v>
      </c>
      <c r="F87" s="40">
        <f t="shared" si="2"/>
        <v>-2.5724027299437124E-2</v>
      </c>
    </row>
    <row r="88" spans="1:6">
      <c r="A88" s="38" t="s">
        <v>109</v>
      </c>
      <c r="B88" s="38">
        <v>1204.74</v>
      </c>
      <c r="C88" s="39">
        <f t="shared" si="3"/>
        <v>4.9465720172505723E-3</v>
      </c>
      <c r="D88" s="38" t="s">
        <v>376</v>
      </c>
      <c r="E88" s="38">
        <v>1739.23</v>
      </c>
      <c r="F88" s="40">
        <f t="shared" si="2"/>
        <v>3.5312242154277307E-3</v>
      </c>
    </row>
    <row r="89" spans="1:6">
      <c r="A89" s="38" t="s">
        <v>110</v>
      </c>
      <c r="B89" s="38">
        <v>1198.81</v>
      </c>
      <c r="C89" s="39">
        <f t="shared" si="3"/>
        <v>9.5752206427270892E-3</v>
      </c>
      <c r="D89" s="38" t="s">
        <v>377</v>
      </c>
      <c r="E89" s="38">
        <v>1733.11</v>
      </c>
      <c r="F89" s="40">
        <f t="shared" si="2"/>
        <v>4.8491286000440503E-4</v>
      </c>
    </row>
    <row r="90" spans="1:6">
      <c r="A90" s="38" t="s">
        <v>111</v>
      </c>
      <c r="B90" s="38">
        <v>1187.44</v>
      </c>
      <c r="C90" s="39">
        <f t="shared" si="3"/>
        <v>-1.5169233576339591E-2</v>
      </c>
      <c r="D90" s="38" t="s">
        <v>378</v>
      </c>
      <c r="E90" s="38">
        <v>1732.27</v>
      </c>
      <c r="F90" s="40">
        <f t="shared" si="2"/>
        <v>-2.1653554424746257E-2</v>
      </c>
    </row>
    <row r="91" spans="1:6">
      <c r="A91" s="38" t="s">
        <v>112</v>
      </c>
      <c r="B91" s="38">
        <v>1205.73</v>
      </c>
      <c r="C91" s="39">
        <f t="shared" si="3"/>
        <v>6.1793300221917091E-2</v>
      </c>
      <c r="D91" s="38" t="s">
        <v>379</v>
      </c>
      <c r="E91" s="38">
        <v>1770.61</v>
      </c>
      <c r="F91" s="40">
        <f t="shared" si="2"/>
        <v>3.1325174886272844E-2</v>
      </c>
    </row>
    <row r="92" spans="1:6">
      <c r="A92" s="38" t="s">
        <v>113</v>
      </c>
      <c r="B92" s="38">
        <v>1135.56</v>
      </c>
      <c r="C92" s="39">
        <f t="shared" si="3"/>
        <v>9.4294166963795112E-2</v>
      </c>
      <c r="D92" s="38" t="s">
        <v>380</v>
      </c>
      <c r="E92" s="38">
        <v>1716.83</v>
      </c>
      <c r="F92" s="40">
        <f t="shared" si="2"/>
        <v>4.2195808950294955E-2</v>
      </c>
    </row>
    <row r="93" spans="1:6">
      <c r="A93" s="38" t="s">
        <v>114</v>
      </c>
      <c r="B93" s="38">
        <v>1037.71</v>
      </c>
      <c r="C93" s="39">
        <f t="shared" si="3"/>
        <v>2.3859201731000201E-3</v>
      </c>
      <c r="D93" s="38" t="s">
        <v>381</v>
      </c>
      <c r="E93" s="38">
        <v>1647.32</v>
      </c>
      <c r="F93" s="40">
        <f t="shared" si="2"/>
        <v>-3.6471406538239881E-3</v>
      </c>
    </row>
    <row r="94" spans="1:6">
      <c r="A94" s="38" t="s">
        <v>115</v>
      </c>
      <c r="B94" s="38">
        <v>1035.24</v>
      </c>
      <c r="C94" s="39">
        <f t="shared" si="3"/>
        <v>4.9385719498844516E-2</v>
      </c>
      <c r="D94" s="38" t="s">
        <v>382</v>
      </c>
      <c r="E94" s="38">
        <v>1653.35</v>
      </c>
      <c r="F94" s="40">
        <f t="shared" si="2"/>
        <v>3.2969298629246913E-2</v>
      </c>
    </row>
    <row r="95" spans="1:6">
      <c r="A95" s="38" t="s">
        <v>116</v>
      </c>
      <c r="B95" s="38">
        <v>986.52</v>
      </c>
      <c r="C95" s="39">
        <f t="shared" si="3"/>
        <v>-2.8039961378549361E-2</v>
      </c>
      <c r="D95" s="38" t="s">
        <v>383</v>
      </c>
      <c r="E95" s="38">
        <v>1600.58</v>
      </c>
      <c r="F95" s="40">
        <f t="shared" si="2"/>
        <v>-1.8583651375688737E-3</v>
      </c>
    </row>
    <row r="96" spans="1:6">
      <c r="A96" s="38" t="s">
        <v>117</v>
      </c>
      <c r="B96" s="38">
        <v>1014.98</v>
      </c>
      <c r="C96" s="39">
        <f t="shared" si="3"/>
        <v>5.5489694473908724E-2</v>
      </c>
      <c r="D96" s="38" t="s">
        <v>384</v>
      </c>
      <c r="E96" s="38">
        <v>1603.56</v>
      </c>
      <c r="F96" s="40">
        <f t="shared" si="2"/>
        <v>5.1721650160687194E-2</v>
      </c>
    </row>
    <row r="97" spans="1:6">
      <c r="A97" s="38" t="s">
        <v>118</v>
      </c>
      <c r="B97" s="38">
        <v>961.62</v>
      </c>
      <c r="C97" s="39">
        <f t="shared" si="3"/>
        <v>-6.8892396177270832E-2</v>
      </c>
      <c r="D97" s="38" t="s">
        <v>385</v>
      </c>
      <c r="E97" s="38">
        <v>1524.7</v>
      </c>
      <c r="F97" s="40">
        <f t="shared" si="2"/>
        <v>-5.8327260150450311E-2</v>
      </c>
    </row>
    <row r="98" spans="1:6">
      <c r="A98" s="38" t="s">
        <v>119</v>
      </c>
      <c r="B98" s="38">
        <v>1032.77</v>
      </c>
      <c r="C98" s="39">
        <f t="shared" si="3"/>
        <v>-6.3204680484375775E-2</v>
      </c>
      <c r="D98" s="38" t="s">
        <v>386</v>
      </c>
      <c r="E98" s="38">
        <v>1619.14</v>
      </c>
      <c r="F98" s="40">
        <f t="shared" si="2"/>
        <v>-3.4208375832841198E-2</v>
      </c>
    </row>
    <row r="99" spans="1:6">
      <c r="A99" s="38" t="s">
        <v>120</v>
      </c>
      <c r="B99" s="38">
        <v>1102.45</v>
      </c>
      <c r="C99" s="39">
        <f t="shared" si="3"/>
        <v>2.0588589255792877E-2</v>
      </c>
      <c r="D99" s="38" t="s">
        <v>387</v>
      </c>
      <c r="E99" s="38">
        <v>1676.49</v>
      </c>
      <c r="F99" s="40">
        <f t="shared" si="2"/>
        <v>2.4574033783949067E-2</v>
      </c>
    </row>
    <row r="100" spans="1:6">
      <c r="A100" s="38" t="s">
        <v>121</v>
      </c>
      <c r="B100" s="38">
        <v>1080.21</v>
      </c>
      <c r="C100" s="39">
        <f t="shared" si="3"/>
        <v>-3.0601897138139211E-2</v>
      </c>
      <c r="D100" s="38" t="s">
        <v>388</v>
      </c>
      <c r="E100" s="38">
        <v>1636.28</v>
      </c>
      <c r="F100" s="40">
        <f t="shared" si="2"/>
        <v>-1.0689496723016334E-2</v>
      </c>
    </row>
    <row r="101" spans="1:6">
      <c r="A101" s="38" t="s">
        <v>122</v>
      </c>
      <c r="B101" s="38">
        <v>1114.31</v>
      </c>
      <c r="C101" s="39">
        <f t="shared" si="3"/>
        <v>6.7203631696898691E-2</v>
      </c>
      <c r="D101" s="38" t="s">
        <v>389</v>
      </c>
      <c r="E101" s="38">
        <v>1653.96</v>
      </c>
      <c r="F101" s="40">
        <f t="shared" si="2"/>
        <v>4.3600065620938322E-2</v>
      </c>
    </row>
    <row r="102" spans="1:6">
      <c r="A102" s="38" t="s">
        <v>123</v>
      </c>
      <c r="B102" s="38">
        <v>1044.1400000000001</v>
      </c>
      <c r="C102" s="39">
        <f t="shared" si="3"/>
        <v>-4.8194638152797009E-2</v>
      </c>
      <c r="D102" s="38" t="s">
        <v>390</v>
      </c>
      <c r="E102" s="38">
        <v>1584.86</v>
      </c>
      <c r="F102" s="40">
        <f t="shared" si="2"/>
        <v>-4.6717953961733061E-2</v>
      </c>
    </row>
    <row r="103" spans="1:6">
      <c r="A103" s="38" t="s">
        <v>124</v>
      </c>
      <c r="B103" s="38">
        <v>1097.01</v>
      </c>
      <c r="C103" s="39">
        <f t="shared" si="3"/>
        <v>-5.1283825271769667E-2</v>
      </c>
      <c r="D103" s="38" t="s">
        <v>391</v>
      </c>
      <c r="E103" s="38">
        <v>1662.53</v>
      </c>
      <c r="F103" s="40">
        <f t="shared" si="2"/>
        <v>-5.7864493607761469E-2</v>
      </c>
    </row>
    <row r="104" spans="1:6">
      <c r="A104" s="38" t="s">
        <v>125</v>
      </c>
      <c r="B104" s="38">
        <v>1156.31</v>
      </c>
      <c r="C104" s="39">
        <f t="shared" si="3"/>
        <v>2.6763277302716215E-2</v>
      </c>
      <c r="D104" s="38" t="s">
        <v>392</v>
      </c>
      <c r="E104" s="38">
        <v>1764.64</v>
      </c>
      <c r="F104" s="40">
        <f t="shared" si="2"/>
        <v>6.2382391515083402E-3</v>
      </c>
    </row>
    <row r="105" spans="1:6">
      <c r="A105" s="38" t="s">
        <v>126</v>
      </c>
      <c r="B105" s="38">
        <v>1126.17</v>
      </c>
      <c r="C105" s="39">
        <f t="shared" si="3"/>
        <v>3.0762612579629645E-2</v>
      </c>
      <c r="D105" s="38" t="s">
        <v>393</v>
      </c>
      <c r="E105" s="38">
        <v>1753.7</v>
      </c>
      <c r="F105" s="40">
        <f t="shared" si="2"/>
        <v>9.2461531436938138E-4</v>
      </c>
    </row>
    <row r="106" spans="1:6">
      <c r="A106" s="38" t="s">
        <v>127</v>
      </c>
      <c r="B106" s="38">
        <v>1092.56</v>
      </c>
      <c r="C106" s="39">
        <f t="shared" si="3"/>
        <v>-5.5132274217121746E-2</v>
      </c>
      <c r="D106" s="38" t="s">
        <v>394</v>
      </c>
      <c r="E106" s="38">
        <v>1752.08</v>
      </c>
      <c r="F106" s="40">
        <f t="shared" si="2"/>
        <v>-2.9517495028719809E-2</v>
      </c>
    </row>
    <row r="107" spans="1:6">
      <c r="A107" s="38" t="s">
        <v>128</v>
      </c>
      <c r="B107" s="38">
        <v>1156.31</v>
      </c>
      <c r="C107" s="39">
        <f t="shared" si="3"/>
        <v>-0.10413567621172681</v>
      </c>
      <c r="D107" s="38" t="s">
        <v>395</v>
      </c>
      <c r="E107" s="38">
        <v>1805.37</v>
      </c>
      <c r="F107" s="40">
        <f t="shared" si="2"/>
        <v>1.420005435958327E-3</v>
      </c>
    </row>
    <row r="108" spans="1:6">
      <c r="A108" s="38" t="s">
        <v>129</v>
      </c>
      <c r="B108" s="38">
        <v>1290.72</v>
      </c>
      <c r="C108" s="39">
        <f t="shared" si="3"/>
        <v>4.2325407693266648E-3</v>
      </c>
      <c r="D108" s="38" t="s">
        <v>396</v>
      </c>
      <c r="E108" s="38">
        <v>1802.81</v>
      </c>
      <c r="F108" s="40">
        <f t="shared" si="2"/>
        <v>4.4961860378845753E-2</v>
      </c>
    </row>
    <row r="109" spans="1:6">
      <c r="A109" s="38" t="s">
        <v>130</v>
      </c>
      <c r="B109" s="38">
        <v>1285.28</v>
      </c>
      <c r="C109" s="39">
        <f t="shared" si="3"/>
        <v>-3.4814214051845926E-2</v>
      </c>
      <c r="D109" s="38" t="s">
        <v>397</v>
      </c>
      <c r="E109" s="38">
        <v>1725.24</v>
      </c>
      <c r="F109" s="40">
        <f t="shared" si="2"/>
        <v>-4.4696449533765947E-2</v>
      </c>
    </row>
    <row r="110" spans="1:6">
      <c r="A110" s="38" t="s">
        <v>131</v>
      </c>
      <c r="B110" s="38">
        <v>1331.64</v>
      </c>
      <c r="C110" s="39">
        <f t="shared" si="3"/>
        <v>0.13175026771600029</v>
      </c>
      <c r="D110" s="38" t="s">
        <v>398</v>
      </c>
      <c r="E110" s="38">
        <v>1805.96</v>
      </c>
      <c r="F110" s="40">
        <f t="shared" si="2"/>
        <v>5.9692647119226949E-2</v>
      </c>
    </row>
    <row r="111" spans="1:6">
      <c r="A111" s="38" t="s">
        <v>132</v>
      </c>
      <c r="B111" s="38">
        <v>1176.6199999999999</v>
      </c>
      <c r="C111" s="39">
        <f t="shared" si="3"/>
        <v>4.1662061166691799E-4</v>
      </c>
      <c r="D111" s="38" t="s">
        <v>399</v>
      </c>
      <c r="E111" s="38">
        <v>1704.23</v>
      </c>
      <c r="F111" s="40">
        <f t="shared" si="2"/>
        <v>1.258429636671532E-2</v>
      </c>
    </row>
    <row r="112" spans="1:6">
      <c r="A112" s="38" t="s">
        <v>133</v>
      </c>
      <c r="B112" s="38">
        <v>1176.1300000000001</v>
      </c>
      <c r="C112" s="39">
        <f t="shared" si="3"/>
        <v>-1.034978921770735E-2</v>
      </c>
      <c r="D112" s="38" t="s">
        <v>400</v>
      </c>
      <c r="E112" s="38">
        <v>1683.05</v>
      </c>
      <c r="F112" s="40">
        <f t="shared" si="2"/>
        <v>-1.7569973440737852E-2</v>
      </c>
    </row>
    <row r="113" spans="1:6">
      <c r="A113" s="38" t="s">
        <v>134</v>
      </c>
      <c r="B113" s="38">
        <v>1188.43</v>
      </c>
      <c r="C113" s="39">
        <f t="shared" si="3"/>
        <v>-4.1228474462645659E-3</v>
      </c>
      <c r="D113" s="38" t="s">
        <v>401</v>
      </c>
      <c r="E113" s="38">
        <v>1713.15</v>
      </c>
      <c r="F113" s="40">
        <f t="shared" si="2"/>
        <v>1.6760539138588992E-2</v>
      </c>
    </row>
    <row r="114" spans="1:6">
      <c r="A114" s="38" t="s">
        <v>135</v>
      </c>
      <c r="B114" s="38">
        <v>1193.3499999999999</v>
      </c>
      <c r="C114" s="39">
        <f t="shared" si="3"/>
        <v>-6.4435454787776236E-2</v>
      </c>
      <c r="D114" s="38" t="s">
        <v>402</v>
      </c>
      <c r="E114" s="38">
        <v>1684.91</v>
      </c>
      <c r="F114" s="40">
        <f t="shared" si="2"/>
        <v>-2.8164546010359115E-2</v>
      </c>
    </row>
    <row r="115" spans="1:6">
      <c r="A115" s="38" t="s">
        <v>136</v>
      </c>
      <c r="B115" s="38">
        <v>1275.54</v>
      </c>
      <c r="C115" s="39">
        <f t="shared" si="3"/>
        <v>-2.1142054654705311E-2</v>
      </c>
      <c r="D115" s="38" t="s">
        <v>403</v>
      </c>
      <c r="E115" s="38">
        <v>1733.74</v>
      </c>
      <c r="F115" s="40">
        <f t="shared" si="2"/>
        <v>6.0873349775134589E-3</v>
      </c>
    </row>
    <row r="116" spans="1:6">
      <c r="A116" s="38" t="s">
        <v>137</v>
      </c>
      <c r="B116" s="38">
        <v>1303.0899999999999</v>
      </c>
      <c r="C116" s="39">
        <f t="shared" si="3"/>
        <v>1.611796447341729E-2</v>
      </c>
      <c r="D116" s="38" t="s">
        <v>404</v>
      </c>
      <c r="E116" s="38">
        <v>1723.25</v>
      </c>
      <c r="F116" s="40">
        <f t="shared" si="2"/>
        <v>-4.6899276295649939E-3</v>
      </c>
    </row>
    <row r="117" spans="1:6">
      <c r="A117" s="38" t="s">
        <v>138</v>
      </c>
      <c r="B117" s="38">
        <v>1282.42</v>
      </c>
      <c r="C117" s="39">
        <f t="shared" si="3"/>
        <v>-1.9564070611080897E-2</v>
      </c>
      <c r="D117" s="38" t="s">
        <v>405</v>
      </c>
      <c r="E117" s="38">
        <v>1731.37</v>
      </c>
      <c r="F117" s="40">
        <f t="shared" si="2"/>
        <v>-2.7609756645493255E-2</v>
      </c>
    </row>
    <row r="118" spans="1:6">
      <c r="A118" s="38" t="s">
        <v>139</v>
      </c>
      <c r="B118" s="38">
        <v>1308.01</v>
      </c>
      <c r="C118" s="39">
        <f t="shared" si="3"/>
        <v>-2.6734824471330576E-2</v>
      </c>
      <c r="D118" s="38" t="s">
        <v>406</v>
      </c>
      <c r="E118" s="38">
        <v>1780.53</v>
      </c>
      <c r="F118" s="40">
        <f t="shared" si="2"/>
        <v>-1.8964709771619126E-2</v>
      </c>
    </row>
    <row r="119" spans="1:6">
      <c r="A119" s="38" t="s">
        <v>140</v>
      </c>
      <c r="B119" s="38">
        <v>1343.94</v>
      </c>
      <c r="C119" s="39">
        <f t="shared" si="3"/>
        <v>-7.0137202399485177E-2</v>
      </c>
      <c r="D119" s="38" t="s">
        <v>407</v>
      </c>
      <c r="E119" s="38">
        <v>1814.95</v>
      </c>
      <c r="F119" s="40">
        <f t="shared" si="2"/>
        <v>-2.8394156285633243E-2</v>
      </c>
    </row>
    <row r="120" spans="1:6">
      <c r="A120" s="38" t="s">
        <v>141</v>
      </c>
      <c r="B120" s="38">
        <v>1445.31</v>
      </c>
      <c r="C120" s="39">
        <f t="shared" si="3"/>
        <v>-3.8626295414333156E-2</v>
      </c>
      <c r="D120" s="38" t="s">
        <v>408</v>
      </c>
      <c r="E120" s="38">
        <v>1867.99</v>
      </c>
      <c r="F120" s="40">
        <f t="shared" si="2"/>
        <v>-4.9683310864090835E-2</v>
      </c>
    </row>
    <row r="121" spans="1:6">
      <c r="A121" s="38" t="s">
        <v>142</v>
      </c>
      <c r="B121" s="38">
        <v>1503.38</v>
      </c>
      <c r="C121" s="39">
        <f t="shared" si="3"/>
        <v>2.5854833536905764E-2</v>
      </c>
      <c r="D121" s="38" t="s">
        <v>409</v>
      </c>
      <c r="E121" s="38">
        <v>1965.65</v>
      </c>
      <c r="F121" s="40">
        <f t="shared" si="2"/>
        <v>1.8445118002124339E-2</v>
      </c>
    </row>
    <row r="122" spans="1:6">
      <c r="A122" s="38" t="s">
        <v>143</v>
      </c>
      <c r="B122" s="38">
        <v>1465.49</v>
      </c>
      <c r="C122" s="39">
        <f t="shared" si="3"/>
        <v>4.1985438411876741E-2</v>
      </c>
      <c r="D122" s="38" t="s">
        <v>410</v>
      </c>
      <c r="E122" s="38">
        <v>1930.05</v>
      </c>
      <c r="F122" s="40">
        <f t="shared" si="2"/>
        <v>1.4475613794408426E-2</v>
      </c>
    </row>
    <row r="123" spans="1:6">
      <c r="A123" s="38" t="s">
        <v>144</v>
      </c>
      <c r="B123" s="38">
        <v>1406.44</v>
      </c>
      <c r="C123" s="39">
        <f t="shared" si="3"/>
        <v>-7.634449571708779E-3</v>
      </c>
      <c r="D123" s="38" t="s">
        <v>411</v>
      </c>
      <c r="E123" s="38">
        <v>1902.51</v>
      </c>
      <c r="F123" s="40">
        <f t="shared" si="2"/>
        <v>-3.6293363499245723E-3</v>
      </c>
    </row>
    <row r="124" spans="1:6">
      <c r="A124" s="38" t="s">
        <v>145</v>
      </c>
      <c r="B124" s="38">
        <v>1417.26</v>
      </c>
      <c r="C124" s="39">
        <f t="shared" si="3"/>
        <v>5.7656716417910481E-2</v>
      </c>
      <c r="D124" s="38" t="s">
        <v>412</v>
      </c>
      <c r="E124" s="38">
        <v>1909.44</v>
      </c>
      <c r="F124" s="40">
        <f t="shared" si="2"/>
        <v>3.9088816451804398E-2</v>
      </c>
    </row>
    <row r="125" spans="1:6">
      <c r="A125" s="38" t="s">
        <v>146</v>
      </c>
      <c r="B125" s="38">
        <v>1340</v>
      </c>
      <c r="C125" s="39">
        <f t="shared" si="3"/>
        <v>-5.2541522014268427E-2</v>
      </c>
      <c r="D125" s="38" t="s">
        <v>413</v>
      </c>
      <c r="E125" s="38">
        <v>1837.61</v>
      </c>
      <c r="F125" s="40">
        <f t="shared" si="2"/>
        <v>-3.6720379941918457E-2</v>
      </c>
    </row>
    <row r="126" spans="1:6">
      <c r="A126" s="38" t="s">
        <v>147</v>
      </c>
      <c r="B126" s="38">
        <v>1414.31</v>
      </c>
      <c r="C126" s="39">
        <f t="shared" si="3"/>
        <v>-7.8847443938594552E-2</v>
      </c>
      <c r="D126" s="38" t="s">
        <v>414</v>
      </c>
      <c r="E126" s="38">
        <v>1907.66</v>
      </c>
      <c r="F126" s="40">
        <f t="shared" si="2"/>
        <v>-4.0837054020353203E-2</v>
      </c>
    </row>
    <row r="127" spans="1:6">
      <c r="A127" s="38" t="s">
        <v>148</v>
      </c>
      <c r="B127" s="38">
        <v>1535.37</v>
      </c>
      <c r="C127" s="39">
        <f t="shared" si="3"/>
        <v>-5.0996604546279523E-3</v>
      </c>
      <c r="D127" s="38" t="s">
        <v>415</v>
      </c>
      <c r="E127" s="38">
        <v>1988.88</v>
      </c>
      <c r="F127" s="40">
        <f t="shared" si="2"/>
        <v>-1.574214748427516E-2</v>
      </c>
    </row>
    <row r="128" spans="1:6">
      <c r="A128" s="38" t="s">
        <v>149</v>
      </c>
      <c r="B128" s="38">
        <v>1543.24</v>
      </c>
      <c r="C128" s="39">
        <f t="shared" si="3"/>
        <v>1.9508360253945645E-2</v>
      </c>
      <c r="D128" s="38" t="s">
        <v>416</v>
      </c>
      <c r="E128" s="38">
        <v>2020.69</v>
      </c>
      <c r="F128" s="40">
        <f t="shared" si="2"/>
        <v>3.3516438552343431E-2</v>
      </c>
    </row>
    <row r="129" spans="1:6">
      <c r="A129" s="38" t="s">
        <v>150</v>
      </c>
      <c r="B129" s="38">
        <v>1513.71</v>
      </c>
      <c r="C129" s="39">
        <f t="shared" si="3"/>
        <v>2.8419436367095097E-2</v>
      </c>
      <c r="D129" s="38" t="s">
        <v>417</v>
      </c>
      <c r="E129" s="38">
        <v>1955.16</v>
      </c>
      <c r="F129" s="40">
        <f t="shared" si="2"/>
        <v>-8.1975529087108256E-3</v>
      </c>
    </row>
    <row r="130" spans="1:6">
      <c r="A130" s="38" t="s">
        <v>151</v>
      </c>
      <c r="B130" s="38">
        <v>1471.88</v>
      </c>
      <c r="C130" s="39">
        <f t="shared" si="3"/>
        <v>-3.5161780900938577E-2</v>
      </c>
      <c r="D130" s="38" t="s">
        <v>418</v>
      </c>
      <c r="E130" s="38">
        <v>1971.32</v>
      </c>
      <c r="F130" s="40">
        <f t="shared" si="2"/>
        <v>2.5326240629799379E-3</v>
      </c>
    </row>
    <row r="131" spans="1:6">
      <c r="A131" s="38" t="s">
        <v>152</v>
      </c>
      <c r="B131" s="38">
        <v>1525.52</v>
      </c>
      <c r="C131" s="39">
        <f t="shared" si="3"/>
        <v>2.9212937350730606E-2</v>
      </c>
      <c r="D131" s="38" t="s">
        <v>419</v>
      </c>
      <c r="E131" s="38">
        <v>1966.34</v>
      </c>
      <c r="F131" s="40">
        <f t="shared" ref="F131:F194" si="4">E131/E132-1</f>
        <v>3.5651647223026828E-2</v>
      </c>
    </row>
    <row r="132" spans="1:6">
      <c r="A132" s="38" t="s">
        <v>153</v>
      </c>
      <c r="B132" s="38">
        <v>1482.22</v>
      </c>
      <c r="C132" s="39">
        <f t="shared" ref="C132:C195" si="5">B132/B133-1</f>
        <v>8.0317734509423033E-3</v>
      </c>
      <c r="D132" s="38" t="s">
        <v>420</v>
      </c>
      <c r="E132" s="38">
        <v>1898.65</v>
      </c>
      <c r="F132" s="40">
        <f t="shared" si="4"/>
        <v>3.2032048355184584E-2</v>
      </c>
    </row>
    <row r="133" spans="1:6">
      <c r="A133" s="38" t="s">
        <v>154</v>
      </c>
      <c r="B133" s="38">
        <v>1470.41</v>
      </c>
      <c r="C133" s="39">
        <f t="shared" si="5"/>
        <v>-1.5163591306386226E-2</v>
      </c>
      <c r="D133" s="38" t="s">
        <v>421</v>
      </c>
      <c r="E133" s="38">
        <v>1839.72</v>
      </c>
      <c r="F133" s="40">
        <f t="shared" si="4"/>
        <v>-9.1239106783148616E-3</v>
      </c>
    </row>
    <row r="134" spans="1:6">
      <c r="A134" s="38" t="s">
        <v>155</v>
      </c>
      <c r="B134" s="38">
        <v>1493.05</v>
      </c>
      <c r="C134" s="39">
        <f t="shared" si="5"/>
        <v>-7.0179481111512509E-2</v>
      </c>
      <c r="D134" s="38" t="s">
        <v>422</v>
      </c>
      <c r="E134" s="38">
        <v>1856.66</v>
      </c>
      <c r="F134" s="40">
        <f t="shared" si="4"/>
        <v>-5.4875131079278772E-2</v>
      </c>
    </row>
    <row r="135" spans="1:6">
      <c r="A135" s="38" t="s">
        <v>156</v>
      </c>
      <c r="B135" s="38">
        <v>1605.74</v>
      </c>
      <c r="C135" s="39">
        <f t="shared" si="5"/>
        <v>-2.1880291899662563E-2</v>
      </c>
      <c r="D135" s="38" t="s">
        <v>423</v>
      </c>
      <c r="E135" s="38">
        <v>1964.46</v>
      </c>
      <c r="F135" s="40">
        <f t="shared" si="4"/>
        <v>4.5048960703601981E-3</v>
      </c>
    </row>
    <row r="136" spans="1:6">
      <c r="A136" s="38" t="s">
        <v>157</v>
      </c>
      <c r="B136" s="38">
        <v>1641.66</v>
      </c>
      <c r="C136" s="39">
        <f t="shared" si="5"/>
        <v>2.2681825260862931E-2</v>
      </c>
      <c r="D136" s="38" t="s">
        <v>424</v>
      </c>
      <c r="E136" s="38">
        <v>1955.65</v>
      </c>
      <c r="F136" s="40">
        <f t="shared" si="4"/>
        <v>-2.570523642187128E-3</v>
      </c>
    </row>
    <row r="137" spans="1:6">
      <c r="A137" s="38" t="s">
        <v>158</v>
      </c>
      <c r="B137" s="38">
        <v>1605.25</v>
      </c>
      <c r="C137" s="39">
        <f t="shared" si="5"/>
        <v>-9.1110548700316096E-3</v>
      </c>
      <c r="D137" s="38" t="s">
        <v>425</v>
      </c>
      <c r="E137" s="38">
        <v>1960.69</v>
      </c>
      <c r="F137" s="40">
        <f t="shared" si="4"/>
        <v>-2.1548304031698606E-2</v>
      </c>
    </row>
    <row r="138" spans="1:6">
      <c r="A138" s="38" t="s">
        <v>159</v>
      </c>
      <c r="B138" s="38">
        <v>1620.01</v>
      </c>
      <c r="C138" s="39">
        <f t="shared" si="5"/>
        <v>3.5871629441591946E-2</v>
      </c>
      <c r="D138" s="38" t="s">
        <v>426</v>
      </c>
      <c r="E138" s="38">
        <v>2003.87</v>
      </c>
      <c r="F138" s="40">
        <f t="shared" si="4"/>
        <v>1.0228979925185788E-2</v>
      </c>
    </row>
    <row r="139" spans="1:6">
      <c r="A139" s="38" t="s">
        <v>160</v>
      </c>
      <c r="B139" s="38">
        <v>1563.91</v>
      </c>
      <c r="C139" s="39">
        <f t="shared" si="5"/>
        <v>7.2910427092793828E-3</v>
      </c>
      <c r="D139" s="38" t="s">
        <v>427</v>
      </c>
      <c r="E139" s="38">
        <v>1983.58</v>
      </c>
      <c r="F139" s="40">
        <f t="shared" si="4"/>
        <v>-1.1910395568595633E-2</v>
      </c>
    </row>
    <row r="140" spans="1:6">
      <c r="A140" s="38" t="s">
        <v>161</v>
      </c>
      <c r="B140" s="38">
        <v>1552.59</v>
      </c>
      <c r="C140" s="39">
        <f t="shared" si="5"/>
        <v>3.0375227299876517E-2</v>
      </c>
      <c r="D140" s="38" t="s">
        <v>428</v>
      </c>
      <c r="E140" s="38">
        <v>2007.49</v>
      </c>
      <c r="F140" s="40">
        <f t="shared" si="4"/>
        <v>1.3832634715418513E-2</v>
      </c>
    </row>
    <row r="141" spans="1:6">
      <c r="A141" s="38" t="s">
        <v>162</v>
      </c>
      <c r="B141" s="38">
        <v>1506.82</v>
      </c>
      <c r="C141" s="39">
        <f t="shared" si="5"/>
        <v>3.0283139491155797E-2</v>
      </c>
      <c r="D141" s="38" t="s">
        <v>429</v>
      </c>
      <c r="E141" s="38">
        <v>1980.1</v>
      </c>
      <c r="F141" s="40">
        <f t="shared" si="4"/>
        <v>1.1488498730594987E-2</v>
      </c>
    </row>
    <row r="142" spans="1:6">
      <c r="A142" s="38" t="s">
        <v>163</v>
      </c>
      <c r="B142" s="38">
        <v>1462.53</v>
      </c>
      <c r="C142" s="39">
        <f t="shared" si="5"/>
        <v>-2.748907817829993E-2</v>
      </c>
      <c r="D142" s="38" t="s">
        <v>430</v>
      </c>
      <c r="E142" s="38">
        <v>1957.61</v>
      </c>
      <c r="F142" s="40">
        <f t="shared" si="4"/>
        <v>1.6623390112172842E-2</v>
      </c>
    </row>
    <row r="143" spans="1:6">
      <c r="A143" s="38" t="s">
        <v>164</v>
      </c>
      <c r="B143" s="38">
        <v>1503.87</v>
      </c>
      <c r="C143" s="39">
        <f t="shared" si="5"/>
        <v>-4.2376528700166505E-3</v>
      </c>
      <c r="D143" s="38" t="s">
        <v>431</v>
      </c>
      <c r="E143" s="38">
        <v>1925.6</v>
      </c>
      <c r="F143" s="40">
        <f t="shared" si="4"/>
        <v>1.6333239703296698E-3</v>
      </c>
    </row>
    <row r="144" spans="1:6">
      <c r="A144" s="38" t="s">
        <v>165</v>
      </c>
      <c r="B144" s="38">
        <v>1510.27</v>
      </c>
      <c r="C144" s="39">
        <f t="shared" si="5"/>
        <v>4.5830062924874237E-3</v>
      </c>
      <c r="D144" s="38" t="s">
        <v>432</v>
      </c>
      <c r="E144" s="38">
        <v>1922.46</v>
      </c>
      <c r="F144" s="40">
        <f t="shared" si="4"/>
        <v>1.4838862934515973E-2</v>
      </c>
    </row>
    <row r="145" spans="1:6">
      <c r="A145" s="38" t="s">
        <v>166</v>
      </c>
      <c r="B145" s="38">
        <v>1503.38</v>
      </c>
      <c r="C145" s="39">
        <f t="shared" si="5"/>
        <v>5.2624188403955774E-3</v>
      </c>
      <c r="D145" s="38" t="s">
        <v>433</v>
      </c>
      <c r="E145" s="38">
        <v>1894.35</v>
      </c>
      <c r="F145" s="40">
        <f t="shared" si="4"/>
        <v>-1.4758980576128344E-3</v>
      </c>
    </row>
    <row r="146" spans="1:6">
      <c r="A146" s="38" t="s">
        <v>167</v>
      </c>
      <c r="B146" s="38">
        <v>1495.51</v>
      </c>
      <c r="C146" s="39">
        <f t="shared" si="5"/>
        <v>1.740911069990192E-2</v>
      </c>
      <c r="D146" s="38" t="s">
        <v>434</v>
      </c>
      <c r="E146" s="38">
        <v>1897.15</v>
      </c>
      <c r="F146" s="40">
        <f t="shared" si="4"/>
        <v>7.2204082716147422E-3</v>
      </c>
    </row>
    <row r="147" spans="1:6">
      <c r="A147" s="38" t="s">
        <v>168</v>
      </c>
      <c r="B147" s="38">
        <v>1469.92</v>
      </c>
      <c r="C147" s="39">
        <f t="shared" si="5"/>
        <v>5.0528878040110303E-3</v>
      </c>
      <c r="D147" s="38" t="s">
        <v>435</v>
      </c>
      <c r="E147" s="38">
        <v>1883.55</v>
      </c>
      <c r="F147" s="40">
        <f t="shared" si="4"/>
        <v>1.9777804246840835E-2</v>
      </c>
    </row>
    <row r="148" spans="1:6">
      <c r="A148" s="38" t="s">
        <v>169</v>
      </c>
      <c r="B148" s="38">
        <v>1462.53</v>
      </c>
      <c r="C148" s="39">
        <f t="shared" si="5"/>
        <v>3.5536768766727622E-2</v>
      </c>
      <c r="D148" s="38" t="s">
        <v>436</v>
      </c>
      <c r="E148" s="38">
        <v>1847.02</v>
      </c>
      <c r="F148" s="40">
        <f t="shared" si="4"/>
        <v>1.0283226307555848E-2</v>
      </c>
    </row>
    <row r="149" spans="1:6">
      <c r="A149" s="38" t="s">
        <v>170</v>
      </c>
      <c r="B149" s="38">
        <v>1412.34</v>
      </c>
      <c r="C149" s="39">
        <f t="shared" si="5"/>
        <v>-2.0813111844477095E-2</v>
      </c>
      <c r="D149" s="38" t="s">
        <v>437</v>
      </c>
      <c r="E149" s="38">
        <v>1828.22</v>
      </c>
      <c r="F149" s="40">
        <f t="shared" si="4"/>
        <v>7.6779346190520847E-3</v>
      </c>
    </row>
    <row r="150" spans="1:6">
      <c r="A150" s="38" t="s">
        <v>171</v>
      </c>
      <c r="B150" s="38">
        <v>1442.36</v>
      </c>
      <c r="C150" s="39">
        <f t="shared" si="5"/>
        <v>-4.0738541422120633E-3</v>
      </c>
      <c r="D150" s="38" t="s">
        <v>438</v>
      </c>
      <c r="E150" s="38">
        <v>1814.29</v>
      </c>
      <c r="F150" s="40">
        <f t="shared" si="4"/>
        <v>8.0564954800281807E-3</v>
      </c>
    </row>
    <row r="151" spans="1:6">
      <c r="A151" s="38" t="s">
        <v>172</v>
      </c>
      <c r="B151" s="38">
        <v>1448.26</v>
      </c>
      <c r="C151" s="39">
        <f t="shared" si="5"/>
        <v>-1.14266211604096E-2</v>
      </c>
      <c r="D151" s="38" t="s">
        <v>439</v>
      </c>
      <c r="E151" s="38">
        <v>1799.79</v>
      </c>
      <c r="F151" s="40">
        <f t="shared" si="4"/>
        <v>-3.3778358593270497E-3</v>
      </c>
    </row>
    <row r="152" spans="1:6">
      <c r="A152" s="38" t="s">
        <v>173</v>
      </c>
      <c r="B152" s="38">
        <v>1465</v>
      </c>
      <c r="C152" s="39">
        <f t="shared" si="5"/>
        <v>2.6197814513869488E-2</v>
      </c>
      <c r="D152" s="38" t="s">
        <v>440</v>
      </c>
      <c r="E152" s="38">
        <v>1805.89</v>
      </c>
      <c r="F152" s="40">
        <f t="shared" si="4"/>
        <v>5.0086538408027348E-3</v>
      </c>
    </row>
    <row r="153" spans="1:6">
      <c r="A153" s="38" t="s">
        <v>174</v>
      </c>
      <c r="B153" s="38">
        <v>1427.6</v>
      </c>
      <c r="C153" s="39">
        <f t="shared" si="5"/>
        <v>6.3032875386276332E-2</v>
      </c>
      <c r="D153" s="38" t="s">
        <v>441</v>
      </c>
      <c r="E153" s="38">
        <v>1796.89</v>
      </c>
      <c r="F153" s="40">
        <f t="shared" si="4"/>
        <v>4.565795522657301E-2</v>
      </c>
    </row>
    <row r="154" spans="1:6">
      <c r="A154" s="38" t="s">
        <v>175</v>
      </c>
      <c r="B154" s="38">
        <v>1342.95</v>
      </c>
      <c r="C154" s="39">
        <f t="shared" si="5"/>
        <v>-2.9176395746434158E-2</v>
      </c>
      <c r="D154" s="38" t="s">
        <v>442</v>
      </c>
      <c r="E154" s="38">
        <v>1718.43</v>
      </c>
      <c r="F154" s="40">
        <f t="shared" si="4"/>
        <v>-3.4334908655656249E-2</v>
      </c>
    </row>
    <row r="155" spans="1:6">
      <c r="A155" s="38" t="s">
        <v>176</v>
      </c>
      <c r="B155" s="38">
        <v>1383.31</v>
      </c>
      <c r="C155" s="39">
        <f t="shared" si="5"/>
        <v>1.8847774209704404E-2</v>
      </c>
      <c r="D155" s="38" t="s">
        <v>443</v>
      </c>
      <c r="E155" s="38">
        <v>1779.53</v>
      </c>
      <c r="F155" s="40">
        <f t="shared" si="4"/>
        <v>7.4560112321384597E-3</v>
      </c>
    </row>
    <row r="156" spans="1:6">
      <c r="A156" s="38" t="s">
        <v>177</v>
      </c>
      <c r="B156" s="38">
        <v>1357.72</v>
      </c>
      <c r="C156" s="39">
        <f t="shared" si="5"/>
        <v>4.6662401036085654E-2</v>
      </c>
      <c r="D156" s="38" t="s">
        <v>444</v>
      </c>
      <c r="E156" s="38">
        <v>1766.36</v>
      </c>
      <c r="F156" s="40">
        <f t="shared" si="4"/>
        <v>2.7362421517536095E-3</v>
      </c>
    </row>
    <row r="157" spans="1:6">
      <c r="A157" s="38" t="s">
        <v>178</v>
      </c>
      <c r="B157" s="38">
        <v>1297.19</v>
      </c>
      <c r="C157" s="39">
        <f t="shared" si="5"/>
        <v>6.1117962320931252E-3</v>
      </c>
      <c r="D157" s="38" t="s">
        <v>445</v>
      </c>
      <c r="E157" s="38">
        <v>1761.54</v>
      </c>
      <c r="F157" s="40">
        <f t="shared" si="4"/>
        <v>1.360845623140694E-2</v>
      </c>
    </row>
    <row r="158" spans="1:6">
      <c r="A158" s="38" t="s">
        <v>179</v>
      </c>
      <c r="B158" s="38">
        <v>1289.31</v>
      </c>
      <c r="C158" s="39">
        <f t="shared" si="5"/>
        <v>3.2306879323597215E-2</v>
      </c>
      <c r="D158" s="38" t="s">
        <v>446</v>
      </c>
      <c r="E158" s="38">
        <v>1737.89</v>
      </c>
      <c r="F158" s="40">
        <f t="shared" si="4"/>
        <v>7.8113220677098472E-3</v>
      </c>
    </row>
    <row r="159" spans="1:6">
      <c r="A159" s="38" t="s">
        <v>180</v>
      </c>
      <c r="B159" s="38">
        <v>1248.96</v>
      </c>
      <c r="C159" s="39">
        <f t="shared" si="5"/>
        <v>1.9684042944034141E-2</v>
      </c>
      <c r="D159" s="38" t="s">
        <v>447</v>
      </c>
      <c r="E159" s="38">
        <v>1724.42</v>
      </c>
      <c r="F159" s="40">
        <f t="shared" si="4"/>
        <v>2.048763167238743E-2</v>
      </c>
    </row>
    <row r="160" spans="1:6">
      <c r="A160" s="38" t="s">
        <v>181</v>
      </c>
      <c r="B160" s="38">
        <v>1224.8499999999999</v>
      </c>
      <c r="C160" s="39">
        <f t="shared" si="5"/>
        <v>2.6396279381572851E-2</v>
      </c>
      <c r="D160" s="38" t="s">
        <v>448</v>
      </c>
      <c r="E160" s="38">
        <v>1689.8</v>
      </c>
      <c r="F160" s="40">
        <f t="shared" si="4"/>
        <v>2.3345950037850116E-2</v>
      </c>
    </row>
    <row r="161" spans="1:6">
      <c r="A161" s="38" t="s">
        <v>182</v>
      </c>
      <c r="B161" s="38">
        <v>1193.3499999999999</v>
      </c>
      <c r="C161" s="39">
        <f t="shared" si="5"/>
        <v>3.373151653225448E-2</v>
      </c>
      <c r="D161" s="38" t="s">
        <v>449</v>
      </c>
      <c r="E161" s="38">
        <v>1651.25</v>
      </c>
      <c r="F161" s="40">
        <f t="shared" si="4"/>
        <v>8.6864626793645705E-3</v>
      </c>
    </row>
    <row r="162" spans="1:6">
      <c r="A162" s="38" t="s">
        <v>183</v>
      </c>
      <c r="B162" s="38">
        <v>1154.4100000000001</v>
      </c>
      <c r="C162" s="39">
        <f t="shared" si="5"/>
        <v>1.9040641220296139E-2</v>
      </c>
      <c r="D162" s="38" t="s">
        <v>450</v>
      </c>
      <c r="E162" s="38">
        <v>1637.03</v>
      </c>
      <c r="F162" s="40">
        <f t="shared" si="4"/>
        <v>7.9427139453120965E-3</v>
      </c>
    </row>
    <row r="163" spans="1:6">
      <c r="A163" s="38" t="s">
        <v>184</v>
      </c>
      <c r="B163" s="38">
        <v>1132.8399999999999</v>
      </c>
      <c r="C163" s="39">
        <f t="shared" si="5"/>
        <v>4.5248200775050762E-2</v>
      </c>
      <c r="D163" s="38" t="s">
        <v>451</v>
      </c>
      <c r="E163" s="38">
        <v>1624.13</v>
      </c>
      <c r="F163" s="40">
        <f t="shared" si="4"/>
        <v>5.5438582810205306E-2</v>
      </c>
    </row>
    <row r="164" spans="1:6">
      <c r="A164" s="38" t="s">
        <v>185</v>
      </c>
      <c r="B164" s="38">
        <v>1083.8</v>
      </c>
      <c r="C164" s="39">
        <f t="shared" si="5"/>
        <v>-2.3849839680080698E-2</v>
      </c>
      <c r="D164" s="38" t="s">
        <v>452</v>
      </c>
      <c r="E164" s="38">
        <v>1538.82</v>
      </c>
      <c r="F164" s="40">
        <f t="shared" si="4"/>
        <v>-4.2343452447630714E-2</v>
      </c>
    </row>
    <row r="165" spans="1:6">
      <c r="A165" s="38" t="s">
        <v>186</v>
      </c>
      <c r="B165" s="38">
        <v>1110.28</v>
      </c>
      <c r="C165" s="39">
        <f t="shared" si="5"/>
        <v>-2.6409874059036831E-3</v>
      </c>
      <c r="D165" s="38" t="s">
        <v>453</v>
      </c>
      <c r="E165" s="38">
        <v>1606.86</v>
      </c>
      <c r="F165" s="40">
        <f t="shared" si="4"/>
        <v>-4.1681824958998082E-2</v>
      </c>
    </row>
    <row r="166" spans="1:6">
      <c r="A166" s="38" t="s">
        <v>187</v>
      </c>
      <c r="B166" s="38">
        <v>1113.22</v>
      </c>
      <c r="C166" s="39">
        <f t="shared" si="5"/>
        <v>1.2487607890931285E-2</v>
      </c>
      <c r="D166" s="38" t="s">
        <v>454</v>
      </c>
      <c r="E166" s="38">
        <v>1676.75</v>
      </c>
      <c r="F166" s="40">
        <f t="shared" si="4"/>
        <v>-1.1350235849056589E-2</v>
      </c>
    </row>
    <row r="167" spans="1:6">
      <c r="A167" s="38" t="s">
        <v>188</v>
      </c>
      <c r="B167" s="38">
        <v>1099.49</v>
      </c>
      <c r="C167" s="39">
        <f t="shared" si="5"/>
        <v>0.10443788171006108</v>
      </c>
      <c r="D167" s="38" t="s">
        <v>455</v>
      </c>
      <c r="E167" s="38">
        <v>1696</v>
      </c>
      <c r="F167" s="40">
        <f t="shared" si="4"/>
        <v>9.8844825532928837E-3</v>
      </c>
    </row>
    <row r="168" spans="1:6">
      <c r="A168" s="38" t="s">
        <v>189</v>
      </c>
      <c r="B168" s="38">
        <v>995.52</v>
      </c>
      <c r="C168" s="39">
        <f t="shared" si="5"/>
        <v>5.772479520606888E-2</v>
      </c>
      <c r="D168" s="38" t="s">
        <v>456</v>
      </c>
      <c r="E168" s="38">
        <v>1679.4</v>
      </c>
      <c r="F168" s="40">
        <f t="shared" si="4"/>
        <v>4.1481913290460248E-2</v>
      </c>
    </row>
    <row r="169" spans="1:6">
      <c r="A169" s="38" t="s">
        <v>190</v>
      </c>
      <c r="B169" s="38">
        <v>941.19</v>
      </c>
      <c r="C169" s="39">
        <f t="shared" si="5"/>
        <v>-2.1611675918418172E-2</v>
      </c>
      <c r="D169" s="38" t="s">
        <v>457</v>
      </c>
      <c r="E169" s="38">
        <v>1612.51</v>
      </c>
      <c r="F169" s="40">
        <f t="shared" si="4"/>
        <v>-4.3429513798258323E-2</v>
      </c>
    </row>
    <row r="170" spans="1:6">
      <c r="A170" s="38" t="s">
        <v>191</v>
      </c>
      <c r="B170" s="38">
        <v>961.98</v>
      </c>
      <c r="C170" s="39">
        <f t="shared" si="5"/>
        <v>-2.2403385400460163E-3</v>
      </c>
      <c r="D170" s="38" t="s">
        <v>458</v>
      </c>
      <c r="E170" s="38">
        <v>1685.72</v>
      </c>
      <c r="F170" s="40">
        <f t="shared" si="4"/>
        <v>1.6945880564420257E-2</v>
      </c>
    </row>
    <row r="171" spans="1:6">
      <c r="A171" s="38" t="s">
        <v>192</v>
      </c>
      <c r="B171" s="38">
        <v>964.14</v>
      </c>
      <c r="C171" s="39">
        <f t="shared" si="5"/>
        <v>-2.5766945555959708E-2</v>
      </c>
      <c r="D171" s="38" t="s">
        <v>459</v>
      </c>
      <c r="E171" s="38">
        <v>1657.63</v>
      </c>
      <c r="F171" s="40">
        <f t="shared" si="4"/>
        <v>-2.8677405556173929E-2</v>
      </c>
    </row>
    <row r="172" spans="1:6">
      <c r="A172" s="38" t="s">
        <v>193</v>
      </c>
      <c r="B172" s="38">
        <v>989.64</v>
      </c>
      <c r="C172" s="39">
        <f t="shared" si="5"/>
        <v>-1.0785362294213452E-2</v>
      </c>
      <c r="D172" s="38" t="s">
        <v>460</v>
      </c>
      <c r="E172" s="38">
        <v>1706.57</v>
      </c>
      <c r="F172" s="40">
        <f t="shared" si="4"/>
        <v>1.7832966534857775E-2</v>
      </c>
    </row>
    <row r="173" spans="1:6">
      <c r="A173" s="38" t="s">
        <v>194</v>
      </c>
      <c r="B173" s="38">
        <v>1000.43</v>
      </c>
      <c r="C173" s="39">
        <f t="shared" si="5"/>
        <v>4.4377064487304274E-3</v>
      </c>
      <c r="D173" s="38" t="s">
        <v>461</v>
      </c>
      <c r="E173" s="38">
        <v>1676.67</v>
      </c>
      <c r="F173" s="40">
        <f t="shared" si="4"/>
        <v>1.6520958882516368E-2</v>
      </c>
    </row>
    <row r="174" spans="1:6">
      <c r="A174" s="38" t="s">
        <v>195</v>
      </c>
      <c r="B174" s="38">
        <v>996.01</v>
      </c>
      <c r="C174" s="39">
        <f t="shared" si="5"/>
        <v>-1.2159441419461015E-2</v>
      </c>
      <c r="D174" s="38" t="s">
        <v>462</v>
      </c>
      <c r="E174" s="38">
        <v>1649.42</v>
      </c>
      <c r="F174" s="40">
        <f t="shared" si="4"/>
        <v>3.3944909480241314E-3</v>
      </c>
    </row>
    <row r="175" spans="1:6">
      <c r="A175" s="38" t="s">
        <v>196</v>
      </c>
      <c r="B175" s="38">
        <v>1008.27</v>
      </c>
      <c r="C175" s="39">
        <f t="shared" si="5"/>
        <v>4.7901640025774794E-2</v>
      </c>
      <c r="D175" s="38" t="s">
        <v>463</v>
      </c>
      <c r="E175" s="38">
        <v>1643.84</v>
      </c>
      <c r="F175" s="40">
        <f t="shared" si="4"/>
        <v>3.9109464781253767E-2</v>
      </c>
    </row>
    <row r="176" spans="1:6">
      <c r="A176" s="38" t="s">
        <v>197</v>
      </c>
      <c r="B176" s="38">
        <v>962.18</v>
      </c>
      <c r="C176" s="39">
        <f t="shared" si="5"/>
        <v>-1.0489726238713359E-2</v>
      </c>
      <c r="D176" s="38" t="s">
        <v>464</v>
      </c>
      <c r="E176" s="38">
        <v>1581.97</v>
      </c>
      <c r="F176" s="40">
        <f t="shared" si="4"/>
        <v>1.7357136426191966E-2</v>
      </c>
    </row>
    <row r="177" spans="1:6">
      <c r="A177" s="38" t="s">
        <v>198</v>
      </c>
      <c r="B177" s="38">
        <v>972.38</v>
      </c>
      <c r="C177" s="39">
        <f t="shared" si="5"/>
        <v>-2.8513767334052642E-2</v>
      </c>
      <c r="D177" s="38" t="s">
        <v>465</v>
      </c>
      <c r="E177" s="38">
        <v>1554.98</v>
      </c>
      <c r="F177" s="40">
        <f t="shared" si="4"/>
        <v>-2.3977202827050292E-2</v>
      </c>
    </row>
    <row r="178" spans="1:6">
      <c r="A178" s="38" t="s">
        <v>199</v>
      </c>
      <c r="B178" s="38">
        <v>1000.92</v>
      </c>
      <c r="C178" s="39">
        <f t="shared" si="5"/>
        <v>-8.2536537032450452E-3</v>
      </c>
      <c r="D178" s="38" t="s">
        <v>466</v>
      </c>
      <c r="E178" s="38">
        <v>1593.18</v>
      </c>
      <c r="F178" s="40">
        <f t="shared" si="4"/>
        <v>-1.6230409144174507E-3</v>
      </c>
    </row>
    <row r="179" spans="1:6">
      <c r="A179" s="38" t="s">
        <v>200</v>
      </c>
      <c r="B179" s="38">
        <v>1009.25</v>
      </c>
      <c r="C179" s="39">
        <f t="shared" si="5"/>
        <v>1.3791787206685946E-2</v>
      </c>
      <c r="D179" s="38" t="s">
        <v>467</v>
      </c>
      <c r="E179" s="38">
        <v>1595.77</v>
      </c>
      <c r="F179" s="40">
        <f t="shared" si="4"/>
        <v>1.0659049742232085E-2</v>
      </c>
    </row>
    <row r="180" spans="1:6">
      <c r="A180" s="38" t="s">
        <v>201</v>
      </c>
      <c r="B180" s="38">
        <v>995.52</v>
      </c>
      <c r="C180" s="39">
        <f t="shared" si="5"/>
        <v>-9.2539925618026708E-2</v>
      </c>
      <c r="D180" s="38" t="s">
        <v>468</v>
      </c>
      <c r="E180" s="38">
        <v>1578.94</v>
      </c>
      <c r="F180" s="40">
        <f t="shared" si="4"/>
        <v>-4.6585514993726651E-3</v>
      </c>
    </row>
    <row r="181" spans="1:6">
      <c r="A181" s="38" t="s">
        <v>202</v>
      </c>
      <c r="B181" s="38">
        <v>1097.04</v>
      </c>
      <c r="C181" s="39">
        <f t="shared" si="5"/>
        <v>8.0678527099710351E-2</v>
      </c>
      <c r="D181" s="38" t="s">
        <v>469</v>
      </c>
      <c r="E181" s="38">
        <v>1586.33</v>
      </c>
      <c r="F181" s="40">
        <f t="shared" si="4"/>
        <v>6.8156567526984624E-2</v>
      </c>
    </row>
    <row r="182" spans="1:6">
      <c r="A182" s="38" t="s">
        <v>203</v>
      </c>
      <c r="B182" s="38">
        <v>1015.14</v>
      </c>
      <c r="C182" s="39">
        <f t="shared" si="5"/>
        <v>-9.5711985950535095E-3</v>
      </c>
      <c r="D182" s="38" t="s">
        <v>470</v>
      </c>
      <c r="E182" s="38">
        <v>1485.11</v>
      </c>
      <c r="F182" s="40">
        <f t="shared" si="4"/>
        <v>-2.8857471685281633E-2</v>
      </c>
    </row>
    <row r="183" spans="1:6">
      <c r="A183" s="38" t="s">
        <v>204</v>
      </c>
      <c r="B183" s="38">
        <v>1024.95</v>
      </c>
      <c r="C183" s="39">
        <f t="shared" si="5"/>
        <v>-2.2451334776678822E-2</v>
      </c>
      <c r="D183" s="38" t="s">
        <v>471</v>
      </c>
      <c r="E183" s="38">
        <v>1529.24</v>
      </c>
      <c r="F183" s="40">
        <f t="shared" si="4"/>
        <v>-3.1593345703013753E-2</v>
      </c>
    </row>
    <row r="184" spans="1:6">
      <c r="A184" s="38" t="s">
        <v>205</v>
      </c>
      <c r="B184" s="38">
        <v>1048.49</v>
      </c>
      <c r="C184" s="39">
        <f t="shared" si="5"/>
        <v>3.7623496974803494E-3</v>
      </c>
      <c r="D184" s="38" t="s">
        <v>472</v>
      </c>
      <c r="E184" s="38">
        <v>1579.13</v>
      </c>
      <c r="F184" s="40">
        <f t="shared" si="4"/>
        <v>8.9771768855266831E-3</v>
      </c>
    </row>
    <row r="185" spans="1:6">
      <c r="A185" s="38" t="s">
        <v>206</v>
      </c>
      <c r="B185" s="38">
        <v>1044.56</v>
      </c>
      <c r="C185" s="39">
        <f t="shared" si="5"/>
        <v>1.8159133664090055E-2</v>
      </c>
      <c r="D185" s="38" t="s">
        <v>473</v>
      </c>
      <c r="E185" s="38">
        <v>1565.08</v>
      </c>
      <c r="F185" s="40">
        <f t="shared" si="4"/>
        <v>3.1123175038212159E-2</v>
      </c>
    </row>
    <row r="186" spans="1:6">
      <c r="A186" s="38" t="s">
        <v>207</v>
      </c>
      <c r="B186" s="38">
        <v>1025.93</v>
      </c>
      <c r="C186" s="39">
        <f t="shared" si="5"/>
        <v>1.9993637032470923E-2</v>
      </c>
      <c r="D186" s="38" t="s">
        <v>474</v>
      </c>
      <c r="E186" s="38">
        <v>1517.84</v>
      </c>
      <c r="F186" s="40">
        <f t="shared" si="4"/>
        <v>3.0714174153373852E-2</v>
      </c>
    </row>
    <row r="187" spans="1:6">
      <c r="A187" s="38" t="s">
        <v>208</v>
      </c>
      <c r="B187" s="38">
        <v>1005.82</v>
      </c>
      <c r="C187" s="39">
        <f t="shared" si="5"/>
        <v>3.669270887015319E-2</v>
      </c>
      <c r="D187" s="38" t="s">
        <v>475</v>
      </c>
      <c r="E187" s="38">
        <v>1472.61</v>
      </c>
      <c r="F187" s="40">
        <f t="shared" si="4"/>
        <v>-1.2572417122626356E-2</v>
      </c>
    </row>
    <row r="188" spans="1:6">
      <c r="A188" s="38" t="s">
        <v>209</v>
      </c>
      <c r="B188" s="38">
        <v>970.22</v>
      </c>
      <c r="C188" s="39">
        <f t="shared" si="5"/>
        <v>9.804329725229044E-3</v>
      </c>
      <c r="D188" s="38" t="s">
        <v>476</v>
      </c>
      <c r="E188" s="38">
        <v>1491.36</v>
      </c>
      <c r="F188" s="40">
        <f t="shared" si="4"/>
        <v>1.7763916660410883E-2</v>
      </c>
    </row>
    <row r="189" spans="1:6">
      <c r="A189" s="38" t="s">
        <v>210</v>
      </c>
      <c r="B189" s="38">
        <v>960.8</v>
      </c>
      <c r="C189" s="39">
        <f t="shared" si="5"/>
        <v>3.0934472139661162E-2</v>
      </c>
      <c r="D189" s="38" t="s">
        <v>477</v>
      </c>
      <c r="E189" s="38">
        <v>1465.33</v>
      </c>
      <c r="F189" s="40">
        <f t="shared" si="4"/>
        <v>2.001990853212865E-2</v>
      </c>
    </row>
    <row r="190" spans="1:6">
      <c r="A190" s="38" t="s">
        <v>211</v>
      </c>
      <c r="B190" s="38">
        <v>931.97</v>
      </c>
      <c r="C190" s="39">
        <f t="shared" si="5"/>
        <v>-1.5330487701800344E-2</v>
      </c>
      <c r="D190" s="38" t="s">
        <v>478</v>
      </c>
      <c r="E190" s="38">
        <v>1436.57</v>
      </c>
      <c r="F190" s="40">
        <f t="shared" si="4"/>
        <v>-2.2675011905571862E-2</v>
      </c>
    </row>
    <row r="191" spans="1:6">
      <c r="A191" s="38" t="s">
        <v>212</v>
      </c>
      <c r="B191" s="38">
        <v>946.48</v>
      </c>
      <c r="C191" s="39">
        <f t="shared" si="5"/>
        <v>2.7687897674216533E-2</v>
      </c>
      <c r="D191" s="38" t="s">
        <v>479</v>
      </c>
      <c r="E191" s="38">
        <v>1469.9</v>
      </c>
      <c r="F191" s="40">
        <f t="shared" si="4"/>
        <v>-2.176545006868924E-4</v>
      </c>
    </row>
    <row r="192" spans="1:6">
      <c r="A192" s="38" t="s">
        <v>213</v>
      </c>
      <c r="B192" s="38">
        <v>920.98</v>
      </c>
      <c r="C192" s="39">
        <f t="shared" si="5"/>
        <v>1.6455682232057178E-2</v>
      </c>
      <c r="D192" s="38" t="s">
        <v>480</v>
      </c>
      <c r="E192" s="38">
        <v>1470.22</v>
      </c>
      <c r="F192" s="40">
        <f t="shared" si="4"/>
        <v>6.5312046444121474E-3</v>
      </c>
    </row>
    <row r="193" spans="1:6">
      <c r="A193" s="38" t="s">
        <v>214</v>
      </c>
      <c r="B193" s="38">
        <v>906.07</v>
      </c>
      <c r="C193" s="39">
        <f t="shared" si="5"/>
        <v>1.205209543383079E-2</v>
      </c>
      <c r="D193" s="38" t="s">
        <v>481</v>
      </c>
      <c r="E193" s="38">
        <v>1460.68</v>
      </c>
      <c r="F193" s="40">
        <f t="shared" si="4"/>
        <v>8.1650964558099837E-3</v>
      </c>
    </row>
    <row r="194" spans="1:6">
      <c r="A194" s="38" t="s">
        <v>215</v>
      </c>
      <c r="B194" s="38">
        <v>895.28</v>
      </c>
      <c r="C194" s="39">
        <f t="shared" si="5"/>
        <v>5.2824686015334743E-2</v>
      </c>
      <c r="D194" s="38" t="s">
        <v>482</v>
      </c>
      <c r="E194" s="38">
        <v>1448.85</v>
      </c>
      <c r="F194" s="40">
        <f t="shared" si="4"/>
        <v>1.771527714363974E-2</v>
      </c>
    </row>
    <row r="195" spans="1:6">
      <c r="A195" s="38" t="s">
        <v>216</v>
      </c>
      <c r="B195" s="38">
        <v>850.36</v>
      </c>
      <c r="C195" s="39">
        <f t="shared" si="5"/>
        <v>4.3938391760369733E-3</v>
      </c>
      <c r="D195" s="38" t="s">
        <v>483</v>
      </c>
      <c r="E195" s="38">
        <v>1423.63</v>
      </c>
      <c r="F195" s="40">
        <f t="shared" ref="F195:F258" si="6">E195/E196-1</f>
        <v>-1.3088297481473221E-2</v>
      </c>
    </row>
    <row r="196" spans="1:6">
      <c r="A196" s="38" t="s">
        <v>217</v>
      </c>
      <c r="B196" s="38">
        <v>846.64</v>
      </c>
      <c r="C196" s="39">
        <f t="shared" ref="C196:C259" si="7">B196/B197-1</f>
        <v>1.0298206465316539E-2</v>
      </c>
      <c r="D196" s="38" t="s">
        <v>484</v>
      </c>
      <c r="E196" s="38">
        <v>1442.51</v>
      </c>
      <c r="F196" s="40">
        <f t="shared" si="6"/>
        <v>-1.7231833910034133E-3</v>
      </c>
    </row>
    <row r="197" spans="1:6">
      <c r="A197" s="38" t="s">
        <v>218</v>
      </c>
      <c r="B197" s="38">
        <v>838.01</v>
      </c>
      <c r="C197" s="39">
        <f t="shared" si="7"/>
        <v>2.2262613447838309E-2</v>
      </c>
      <c r="D197" s="38" t="s">
        <v>485</v>
      </c>
      <c r="E197" s="38">
        <v>1445</v>
      </c>
      <c r="F197" s="40">
        <f t="shared" si="6"/>
        <v>2.5644665583056003E-2</v>
      </c>
    </row>
    <row r="198" spans="1:6">
      <c r="A198" s="38" t="s">
        <v>219</v>
      </c>
      <c r="B198" s="38">
        <v>819.76</v>
      </c>
      <c r="C198" s="39">
        <f t="shared" si="7"/>
        <v>6.9895709214193857E-3</v>
      </c>
      <c r="D198" s="38" t="s">
        <v>486</v>
      </c>
      <c r="E198" s="38">
        <v>1408.87</v>
      </c>
      <c r="F198" s="40">
        <f t="shared" si="6"/>
        <v>2.1223696895454447E-2</v>
      </c>
    </row>
    <row r="199" spans="1:6">
      <c r="A199" s="38" t="s">
        <v>220</v>
      </c>
      <c r="B199" s="38">
        <v>814.07</v>
      </c>
      <c r="C199" s="39">
        <f t="shared" si="7"/>
        <v>4.8235278968851825E-2</v>
      </c>
      <c r="D199" s="38" t="s">
        <v>487</v>
      </c>
      <c r="E199" s="38">
        <v>1379.59</v>
      </c>
      <c r="F199" s="40">
        <f t="shared" si="6"/>
        <v>2.7428579939825282E-2</v>
      </c>
    </row>
    <row r="200" spans="1:6">
      <c r="A200" s="38" t="s">
        <v>221</v>
      </c>
      <c r="B200" s="38">
        <v>776.61</v>
      </c>
      <c r="C200" s="39">
        <f t="shared" si="7"/>
        <v>1.905286777152293E-2</v>
      </c>
      <c r="D200" s="38" t="s">
        <v>488</v>
      </c>
      <c r="E200" s="38">
        <v>1342.76</v>
      </c>
      <c r="F200" s="40">
        <f t="shared" si="6"/>
        <v>-1.3213398591942593E-2</v>
      </c>
    </row>
    <row r="201" spans="1:6">
      <c r="A201" s="38" t="s">
        <v>222</v>
      </c>
      <c r="B201" s="38">
        <v>762.09</v>
      </c>
      <c r="C201" s="39">
        <f t="shared" si="7"/>
        <v>1.0662422916252412E-2</v>
      </c>
      <c r="D201" s="38" t="s">
        <v>489</v>
      </c>
      <c r="E201" s="38">
        <v>1360.74</v>
      </c>
      <c r="F201" s="40">
        <f t="shared" si="6"/>
        <v>3.0473305566073527E-2</v>
      </c>
    </row>
    <row r="202" spans="1:6">
      <c r="A202" s="38" t="s">
        <v>223</v>
      </c>
      <c r="B202" s="38">
        <v>754.05</v>
      </c>
      <c r="C202" s="39">
        <f t="shared" si="7"/>
        <v>3.9481121021215593E-2</v>
      </c>
      <c r="D202" s="38" t="s">
        <v>490</v>
      </c>
      <c r="E202" s="38">
        <v>1320.5</v>
      </c>
      <c r="F202" s="40">
        <f t="shared" si="6"/>
        <v>-1.0624269487817362E-2</v>
      </c>
    </row>
    <row r="203" spans="1:6">
      <c r="A203" s="38" t="s">
        <v>224</v>
      </c>
      <c r="B203" s="38">
        <v>725.41</v>
      </c>
      <c r="C203" s="39">
        <f t="shared" si="7"/>
        <v>4.4642214253826973E-2</v>
      </c>
      <c r="D203" s="38" t="s">
        <v>491</v>
      </c>
      <c r="E203" s="38">
        <v>1334.68</v>
      </c>
      <c r="F203" s="40">
        <f t="shared" si="6"/>
        <v>5.7799112290035648E-3</v>
      </c>
    </row>
    <row r="204" spans="1:6">
      <c r="A204" s="38" t="s">
        <v>225</v>
      </c>
      <c r="B204" s="38">
        <v>694.41</v>
      </c>
      <c r="C204" s="39">
        <f t="shared" si="7"/>
        <v>-4.2985115766262516E-2</v>
      </c>
      <c r="D204" s="38" t="s">
        <v>492</v>
      </c>
      <c r="E204" s="38">
        <v>1327.01</v>
      </c>
      <c r="F204" s="40">
        <f t="shared" si="6"/>
        <v>1.9529959511059625E-2</v>
      </c>
    </row>
    <row r="205" spans="1:6">
      <c r="A205" s="38" t="s">
        <v>226</v>
      </c>
      <c r="B205" s="38">
        <v>725.6</v>
      </c>
      <c r="C205" s="39">
        <f t="shared" si="7"/>
        <v>7.8734538534728893E-2</v>
      </c>
      <c r="D205" s="38" t="s">
        <v>493</v>
      </c>
      <c r="E205" s="38">
        <v>1301.5899999999999</v>
      </c>
      <c r="F205" s="40">
        <f t="shared" si="6"/>
        <v>4.7506760236930123E-2</v>
      </c>
    </row>
    <row r="206" spans="1:6">
      <c r="A206" s="38" t="s">
        <v>227</v>
      </c>
      <c r="B206" s="38">
        <v>672.64</v>
      </c>
      <c r="C206" s="39">
        <f t="shared" si="7"/>
        <v>-9.5271752735197612E-3</v>
      </c>
      <c r="D206" s="38" t="s">
        <v>494</v>
      </c>
      <c r="E206" s="38">
        <v>1242.56</v>
      </c>
      <c r="F206" s="40">
        <f t="shared" si="6"/>
        <v>2.2504174161335211E-3</v>
      </c>
    </row>
    <row r="207" spans="1:6">
      <c r="A207" s="38" t="s">
        <v>228</v>
      </c>
      <c r="B207" s="38">
        <v>679.11</v>
      </c>
      <c r="C207" s="39">
        <f t="shared" si="7"/>
        <v>3.5907683390026923E-2</v>
      </c>
      <c r="D207" s="38" t="s">
        <v>495</v>
      </c>
      <c r="E207" s="38">
        <v>1239.77</v>
      </c>
      <c r="F207" s="40">
        <f t="shared" si="6"/>
        <v>1.5588905090355043E-2</v>
      </c>
    </row>
    <row r="208" spans="1:6">
      <c r="A208" s="38" t="s">
        <v>229</v>
      </c>
      <c r="B208" s="38">
        <v>655.57</v>
      </c>
      <c r="C208" s="39">
        <f t="shared" si="7"/>
        <v>1.2713566286649991E-2</v>
      </c>
      <c r="D208" s="38" t="s">
        <v>496</v>
      </c>
      <c r="E208" s="38">
        <v>1220.74</v>
      </c>
      <c r="F208" s="40">
        <f t="shared" si="6"/>
        <v>4.5589203423304081E-3</v>
      </c>
    </row>
    <row r="209" spans="1:6">
      <c r="A209" s="38" t="s">
        <v>230</v>
      </c>
      <c r="B209" s="38">
        <v>647.34</v>
      </c>
      <c r="C209" s="39">
        <f t="shared" si="7"/>
        <v>7.642856031007339E-3</v>
      </c>
      <c r="D209" s="38" t="s">
        <v>497</v>
      </c>
      <c r="E209" s="38">
        <v>1215.2</v>
      </c>
      <c r="F209" s="40">
        <f t="shared" si="6"/>
        <v>8.7577304611297091E-3</v>
      </c>
    </row>
    <row r="210" spans="1:6">
      <c r="A210" s="38" t="s">
        <v>231</v>
      </c>
      <c r="B210" s="38">
        <v>642.42999999999995</v>
      </c>
      <c r="C210" s="39">
        <f t="shared" si="7"/>
        <v>4.0996224458379915E-2</v>
      </c>
      <c r="D210" s="38" t="s">
        <v>498</v>
      </c>
      <c r="E210" s="38">
        <v>1204.6500000000001</v>
      </c>
      <c r="F210" s="40">
        <f t="shared" si="6"/>
        <v>4.6329832972874518E-2</v>
      </c>
    </row>
    <row r="211" spans="1:6">
      <c r="A211" s="38" t="s">
        <v>232</v>
      </c>
      <c r="B211" s="38">
        <v>617.13</v>
      </c>
      <c r="C211" s="39">
        <f t="shared" si="7"/>
        <v>5.9978358324315861E-2</v>
      </c>
      <c r="D211" s="38" t="s">
        <v>499</v>
      </c>
      <c r="E211" s="38">
        <v>1151.31</v>
      </c>
      <c r="F211" s="40">
        <f t="shared" si="6"/>
        <v>1.9489949526255268E-2</v>
      </c>
    </row>
    <row r="212" spans="1:6">
      <c r="A212" s="38" t="s">
        <v>233</v>
      </c>
      <c r="B212" s="38">
        <v>582.21</v>
      </c>
      <c r="C212" s="39">
        <f t="shared" si="7"/>
        <v>8.4876409554659471E-3</v>
      </c>
      <c r="D212" s="38" t="s">
        <v>500</v>
      </c>
      <c r="E212" s="38">
        <v>1129.3</v>
      </c>
      <c r="F212" s="40">
        <f t="shared" si="6"/>
        <v>4.9613354152725053E-2</v>
      </c>
    </row>
    <row r="213" spans="1:6">
      <c r="A213" s="38" t="s">
        <v>234</v>
      </c>
      <c r="B213" s="38">
        <v>577.30999999999995</v>
      </c>
      <c r="C213" s="39">
        <f t="shared" si="7"/>
        <v>0.1546892813568812</v>
      </c>
      <c r="D213" s="38" t="s">
        <v>501</v>
      </c>
      <c r="E213" s="38">
        <v>1075.92</v>
      </c>
      <c r="F213" s="40">
        <f t="shared" si="6"/>
        <v>4.3194973675790616E-2</v>
      </c>
    </row>
    <row r="214" spans="1:6">
      <c r="A214" s="38" t="s">
        <v>235</v>
      </c>
      <c r="B214" s="38">
        <v>499.97</v>
      </c>
      <c r="C214" s="39">
        <f t="shared" si="7"/>
        <v>-0.16120860316075547</v>
      </c>
      <c r="D214" s="38" t="s">
        <v>502</v>
      </c>
      <c r="E214" s="38">
        <v>1031.3699999999999</v>
      </c>
      <c r="F214" s="40">
        <f t="shared" si="6"/>
        <v>-9.7358642739868717E-3</v>
      </c>
    </row>
    <row r="215" spans="1:6">
      <c r="A215" s="38" t="s">
        <v>236</v>
      </c>
      <c r="B215" s="38">
        <v>596.05999999999995</v>
      </c>
      <c r="C215" s="39">
        <f t="shared" si="7"/>
        <v>-9.7576115425958787E-2</v>
      </c>
      <c r="D215" s="38" t="s">
        <v>503</v>
      </c>
      <c r="E215" s="38">
        <v>1041.51</v>
      </c>
      <c r="F215" s="40">
        <f t="shared" si="6"/>
        <v>-0.15127734995721798</v>
      </c>
    </row>
    <row r="216" spans="1:6">
      <c r="A216" s="38" t="s">
        <v>237</v>
      </c>
      <c r="B216" s="38">
        <v>660.51</v>
      </c>
      <c r="C216" s="39">
        <f t="shared" si="7"/>
        <v>-7.9155276517768325E-3</v>
      </c>
      <c r="D216" s="38" t="s">
        <v>504</v>
      </c>
      <c r="E216" s="38">
        <v>1227.1500000000001</v>
      </c>
      <c r="F216" s="40">
        <f t="shared" si="6"/>
        <v>6.933617789447899E-3</v>
      </c>
    </row>
    <row r="217" spans="1:6">
      <c r="A217" s="38" t="s">
        <v>238</v>
      </c>
      <c r="B217" s="38">
        <v>665.78</v>
      </c>
      <c r="C217" s="39">
        <f t="shared" si="7"/>
        <v>-0.11752932599907229</v>
      </c>
      <c r="D217" s="38" t="s">
        <v>505</v>
      </c>
      <c r="E217" s="38">
        <v>1218.7</v>
      </c>
      <c r="F217" s="40">
        <f t="shared" si="6"/>
        <v>-0.10490404177653079</v>
      </c>
    </row>
    <row r="218" spans="1:6">
      <c r="A218" s="38" t="s">
        <v>239</v>
      </c>
      <c r="B218" s="38">
        <v>754.45</v>
      </c>
      <c r="C218" s="39">
        <f t="shared" si="7"/>
        <v>-6.9367661770125544E-3</v>
      </c>
      <c r="D218" s="38" t="s">
        <v>506</v>
      </c>
      <c r="E218" s="38">
        <v>1361.53</v>
      </c>
      <c r="F218" s="40">
        <f t="shared" si="6"/>
        <v>4.5226501401798291E-3</v>
      </c>
    </row>
    <row r="219" spans="1:6">
      <c r="A219" s="38" t="s">
        <v>240</v>
      </c>
      <c r="B219" s="38">
        <v>759.72</v>
      </c>
      <c r="C219" s="39">
        <f t="shared" si="7"/>
        <v>-8.4184972003601422E-3</v>
      </c>
      <c r="D219" s="38" t="s">
        <v>507</v>
      </c>
      <c r="E219" s="38">
        <v>1355.4</v>
      </c>
      <c r="F219" s="40">
        <f t="shared" si="6"/>
        <v>1.1303861219921663E-2</v>
      </c>
    </row>
    <row r="220" spans="1:6">
      <c r="A220" s="38" t="s">
        <v>241</v>
      </c>
      <c r="B220" s="38">
        <v>766.17</v>
      </c>
      <c r="C220" s="39">
        <f t="shared" si="7"/>
        <v>6.9532078843039802E-2</v>
      </c>
      <c r="D220" s="38" t="s">
        <v>508</v>
      </c>
      <c r="E220" s="38">
        <v>1340.25</v>
      </c>
      <c r="F220" s="40">
        <f t="shared" si="6"/>
        <v>4.8873063077163881E-2</v>
      </c>
    </row>
    <row r="221" spans="1:6">
      <c r="A221" s="38" t="s">
        <v>242</v>
      </c>
      <c r="B221" s="38">
        <v>716.36</v>
      </c>
      <c r="C221" s="39">
        <f t="shared" si="7"/>
        <v>-3.2704096789003212E-2</v>
      </c>
      <c r="D221" s="38" t="s">
        <v>509</v>
      </c>
      <c r="E221" s="38">
        <v>1277.8</v>
      </c>
      <c r="F221" s="40">
        <f t="shared" si="6"/>
        <v>-1.6638192424312526E-2</v>
      </c>
    </row>
    <row r="222" spans="1:6">
      <c r="A222" s="38" t="s">
        <v>243</v>
      </c>
      <c r="B222" s="38">
        <v>740.58</v>
      </c>
      <c r="C222" s="39">
        <f t="shared" si="7"/>
        <v>-1.4557164147327994E-2</v>
      </c>
      <c r="D222" s="38" t="s">
        <v>510</v>
      </c>
      <c r="E222" s="38">
        <v>1299.42</v>
      </c>
      <c r="F222" s="40">
        <f t="shared" si="6"/>
        <v>1.177295024526992E-2</v>
      </c>
    </row>
    <row r="223" spans="1:6">
      <c r="A223" s="38" t="s">
        <v>244</v>
      </c>
      <c r="B223" s="38">
        <v>751.52</v>
      </c>
      <c r="C223" s="39">
        <f t="shared" si="7"/>
        <v>3.1641659917361009E-2</v>
      </c>
      <c r="D223" s="38" t="s">
        <v>511</v>
      </c>
      <c r="E223" s="38">
        <v>1284.3</v>
      </c>
      <c r="F223" s="40">
        <f t="shared" si="6"/>
        <v>3.0085258944970716E-2</v>
      </c>
    </row>
    <row r="224" spans="1:6">
      <c r="A224" s="38" t="s">
        <v>245</v>
      </c>
      <c r="B224" s="38">
        <v>728.47</v>
      </c>
      <c r="C224" s="39">
        <f t="shared" si="7"/>
        <v>-7.1959114139692471E-3</v>
      </c>
      <c r="D224" s="38" t="s">
        <v>512</v>
      </c>
      <c r="E224" s="38">
        <v>1246.79</v>
      </c>
      <c r="F224" s="40">
        <f t="shared" si="6"/>
        <v>7.4663649953536915E-3</v>
      </c>
    </row>
    <row r="225" spans="1:6">
      <c r="A225" s="38" t="s">
        <v>246</v>
      </c>
      <c r="B225" s="38">
        <v>733.75</v>
      </c>
      <c r="C225" s="39">
        <f t="shared" si="7"/>
        <v>-2.5422040404308732E-2</v>
      </c>
      <c r="D225" s="38" t="s">
        <v>513</v>
      </c>
      <c r="E225" s="38">
        <v>1237.55</v>
      </c>
      <c r="F225" s="40">
        <f t="shared" si="6"/>
        <v>-2.120440380904165E-2</v>
      </c>
    </row>
    <row r="226" spans="1:6">
      <c r="A226" s="38" t="s">
        <v>247</v>
      </c>
      <c r="B226" s="38">
        <v>752.89</v>
      </c>
      <c r="C226" s="39">
        <f t="shared" si="7"/>
        <v>2.1200119360876846E-2</v>
      </c>
      <c r="D226" s="38" t="s">
        <v>514</v>
      </c>
      <c r="E226" s="38">
        <v>1264.3599999999999</v>
      </c>
      <c r="F226" s="40">
        <f t="shared" si="6"/>
        <v>1.3799462775127225E-2</v>
      </c>
    </row>
    <row r="227" spans="1:6">
      <c r="A227" s="38" t="s">
        <v>248</v>
      </c>
      <c r="B227" s="38">
        <v>737.26</v>
      </c>
      <c r="C227" s="39">
        <f t="shared" si="7"/>
        <v>-2.9077237256731614E-3</v>
      </c>
      <c r="D227" s="38" t="s">
        <v>515</v>
      </c>
      <c r="E227" s="38">
        <v>1247.1500000000001</v>
      </c>
      <c r="F227" s="40">
        <f t="shared" si="6"/>
        <v>9.9198315653088454E-3</v>
      </c>
    </row>
    <row r="228" spans="1:6">
      <c r="A228" s="38" t="s">
        <v>249</v>
      </c>
      <c r="B228" s="38">
        <v>739.41</v>
      </c>
      <c r="C228" s="39">
        <f t="shared" si="7"/>
        <v>-6.3029162746943701E-3</v>
      </c>
      <c r="D228" s="38" t="s">
        <v>516</v>
      </c>
      <c r="E228" s="38">
        <v>1234.9000000000001</v>
      </c>
      <c r="F228" s="40">
        <f t="shared" si="6"/>
        <v>-4.3618127726131606E-3</v>
      </c>
    </row>
    <row r="229" spans="1:6">
      <c r="A229" s="38" t="s">
        <v>250</v>
      </c>
      <c r="B229" s="38">
        <v>744.1</v>
      </c>
      <c r="C229" s="39">
        <f t="shared" si="7"/>
        <v>3.1967269953540045E-2</v>
      </c>
      <c r="D229" s="38" t="s">
        <v>517</v>
      </c>
      <c r="E229" s="38">
        <v>1240.31</v>
      </c>
      <c r="F229" s="40">
        <f t="shared" si="6"/>
        <v>1.766520618979639E-2</v>
      </c>
    </row>
    <row r="230" spans="1:6">
      <c r="A230" s="38" t="s">
        <v>251</v>
      </c>
      <c r="B230" s="38">
        <v>721.05</v>
      </c>
      <c r="C230" s="39">
        <f t="shared" si="7"/>
        <v>5.1718850196558197E-3</v>
      </c>
      <c r="D230" s="38" t="s">
        <v>518</v>
      </c>
      <c r="E230" s="38">
        <v>1218.78</v>
      </c>
      <c r="F230" s="40">
        <f t="shared" si="6"/>
        <v>1.8859407132467254E-2</v>
      </c>
    </row>
    <row r="231" spans="1:6">
      <c r="A231" s="38" t="s">
        <v>252</v>
      </c>
      <c r="B231" s="38">
        <v>717.34</v>
      </c>
      <c r="C231" s="39">
        <f t="shared" si="7"/>
        <v>-1.2635577823046806E-2</v>
      </c>
      <c r="D231" s="38" t="s">
        <v>519</v>
      </c>
      <c r="E231" s="38">
        <v>1196.22</v>
      </c>
      <c r="F231" s="40">
        <f t="shared" si="6"/>
        <v>-1.0685280447260137E-2</v>
      </c>
    </row>
    <row r="232" spans="1:6">
      <c r="A232" s="38" t="s">
        <v>253</v>
      </c>
      <c r="B232" s="38">
        <v>726.52</v>
      </c>
      <c r="C232" s="39">
        <f t="shared" si="7"/>
        <v>2.2547501759324406E-2</v>
      </c>
      <c r="D232" s="38" t="s">
        <v>520</v>
      </c>
      <c r="E232" s="38">
        <v>1209.1400000000001</v>
      </c>
      <c r="F232" s="40">
        <f t="shared" si="6"/>
        <v>1.1096523869651653E-2</v>
      </c>
    </row>
    <row r="233" spans="1:6">
      <c r="A233" s="38" t="s">
        <v>254</v>
      </c>
      <c r="B233" s="38">
        <v>710.5</v>
      </c>
      <c r="C233" s="39">
        <f t="shared" si="7"/>
        <v>4.2400234741784004E-2</v>
      </c>
      <c r="D233" s="38" t="s">
        <v>521</v>
      </c>
      <c r="E233" s="38">
        <v>1195.8699999999999</v>
      </c>
      <c r="F233" s="40">
        <f t="shared" si="6"/>
        <v>1.9523090957142886E-2</v>
      </c>
    </row>
    <row r="234" spans="1:6">
      <c r="A234" s="38" t="s">
        <v>255</v>
      </c>
      <c r="B234" s="38">
        <v>681.6</v>
      </c>
      <c r="C234" s="39">
        <f t="shared" si="7"/>
        <v>9.2325197519190993E-2</v>
      </c>
      <c r="D234" s="38" t="s">
        <v>522</v>
      </c>
      <c r="E234" s="38">
        <v>1172.97</v>
      </c>
      <c r="F234" s="40">
        <f t="shared" si="6"/>
        <v>2.0923816072345502E-2</v>
      </c>
    </row>
    <row r="235" spans="1:6">
      <c r="A235" s="38" t="s">
        <v>256</v>
      </c>
      <c r="B235" s="38">
        <v>623.99</v>
      </c>
      <c r="C235" s="39">
        <f t="shared" si="7"/>
        <v>-4.0540756228751862E-3</v>
      </c>
      <c r="D235" s="38" t="s">
        <v>523</v>
      </c>
      <c r="E235" s="38">
        <v>1148.93</v>
      </c>
      <c r="F235" s="40">
        <f t="shared" si="6"/>
        <v>2.4695872426955923E-2</v>
      </c>
    </row>
    <row r="236" spans="1:6">
      <c r="A236" s="38" t="s">
        <v>257</v>
      </c>
      <c r="B236" s="38">
        <v>626.53</v>
      </c>
      <c r="C236" s="39">
        <f t="shared" si="7"/>
        <v>6.279913912177415E-3</v>
      </c>
      <c r="D236" s="38" t="s">
        <v>524</v>
      </c>
      <c r="E236" s="38">
        <v>1121.24</v>
      </c>
      <c r="F236" s="40">
        <f t="shared" si="6"/>
        <v>3.4634901599293055E-3</v>
      </c>
    </row>
    <row r="237" spans="1:6">
      <c r="A237" s="38" t="s">
        <v>258</v>
      </c>
      <c r="B237" s="38">
        <v>622.62</v>
      </c>
      <c r="C237" s="39">
        <f t="shared" si="7"/>
        <v>1.5941910744880383E-2</v>
      </c>
      <c r="D237" s="38" t="s">
        <v>525</v>
      </c>
      <c r="E237" s="38">
        <v>1117.3699999999999</v>
      </c>
      <c r="F237" s="40">
        <f t="shared" si="6"/>
        <v>3.8451517846713745E-3</v>
      </c>
    </row>
    <row r="238" spans="1:6">
      <c r="A238" s="38" t="s">
        <v>259</v>
      </c>
      <c r="B238" s="38">
        <v>612.85</v>
      </c>
      <c r="C238" s="39">
        <f t="shared" si="7"/>
        <v>-2.9394529703362204E-2</v>
      </c>
      <c r="D238" s="38" t="s">
        <v>526</v>
      </c>
      <c r="E238" s="38">
        <v>1113.0899999999999</v>
      </c>
      <c r="F238" s="40">
        <f t="shared" si="6"/>
        <v>-3.0949644797325648E-2</v>
      </c>
    </row>
    <row r="239" spans="1:6">
      <c r="A239" s="38" t="s">
        <v>260</v>
      </c>
      <c r="B239" s="38">
        <v>631.41</v>
      </c>
      <c r="C239" s="39">
        <f t="shared" si="7"/>
        <v>-8.2773135641137641E-3</v>
      </c>
      <c r="D239" s="38" t="s">
        <v>527</v>
      </c>
      <c r="E239" s="38">
        <v>1148.6400000000001</v>
      </c>
      <c r="F239" s="40">
        <f t="shared" si="6"/>
        <v>-1.4517825629611902E-3</v>
      </c>
    </row>
    <row r="240" spans="1:6">
      <c r="A240" s="38" t="s">
        <v>261</v>
      </c>
      <c r="B240" s="38">
        <v>636.67999999999995</v>
      </c>
      <c r="C240" s="39">
        <f t="shared" si="7"/>
        <v>-2.7567195037906389E-3</v>
      </c>
      <c r="D240" s="38" t="s">
        <v>528</v>
      </c>
      <c r="E240" s="38">
        <v>1150.31</v>
      </c>
      <c r="F240" s="40">
        <f t="shared" si="6"/>
        <v>2.090756243956271E-3</v>
      </c>
    </row>
    <row r="241" spans="1:6">
      <c r="A241" s="38" t="s">
        <v>262</v>
      </c>
      <c r="B241" s="38">
        <v>638.44000000000005</v>
      </c>
      <c r="C241" s="39">
        <f t="shared" si="7"/>
        <v>-5.6566970091027291E-2</v>
      </c>
      <c r="D241" s="38" t="s">
        <v>529</v>
      </c>
      <c r="E241" s="38">
        <v>1147.9100000000001</v>
      </c>
      <c r="F241" s="40">
        <f t="shared" si="6"/>
        <v>-7.6335217940072253E-3</v>
      </c>
    </row>
    <row r="242" spans="1:6">
      <c r="A242" s="38" t="s">
        <v>263</v>
      </c>
      <c r="B242" s="38">
        <v>676.72</v>
      </c>
      <c r="C242" s="39">
        <f t="shared" si="7"/>
        <v>3.0642704843131252E-2</v>
      </c>
      <c r="D242" s="38" t="s">
        <v>530</v>
      </c>
      <c r="E242" s="38">
        <v>1156.74</v>
      </c>
      <c r="F242" s="40">
        <f t="shared" si="6"/>
        <v>2.0331836745494769E-2</v>
      </c>
    </row>
    <row r="243" spans="1:6">
      <c r="A243" s="38" t="s">
        <v>264</v>
      </c>
      <c r="B243" s="38">
        <v>656.6</v>
      </c>
      <c r="C243" s="39">
        <f t="shared" si="7"/>
        <v>2.0325708602685344E-2</v>
      </c>
      <c r="D243" s="38" t="s">
        <v>531</v>
      </c>
      <c r="E243" s="38">
        <v>1133.69</v>
      </c>
      <c r="F243" s="40">
        <f t="shared" si="6"/>
        <v>-1.4972828719647113E-3</v>
      </c>
    </row>
    <row r="244" spans="1:6">
      <c r="A244" s="38" t="s">
        <v>265</v>
      </c>
      <c r="B244" s="38">
        <v>643.52</v>
      </c>
      <c r="C244" s="39">
        <f t="shared" si="7"/>
        <v>3.9108671080251955E-2</v>
      </c>
      <c r="D244" s="38" t="s">
        <v>532</v>
      </c>
      <c r="E244" s="38">
        <v>1135.3900000000001</v>
      </c>
      <c r="F244" s="40">
        <f t="shared" si="6"/>
        <v>1.3478652848815997E-2</v>
      </c>
    </row>
    <row r="245" spans="1:6">
      <c r="A245" s="38" t="s">
        <v>266</v>
      </c>
      <c r="B245" s="38">
        <v>619.29999999999995</v>
      </c>
      <c r="C245" s="39">
        <f t="shared" si="7"/>
        <v>2.0599868160843693E-2</v>
      </c>
      <c r="D245" s="38" t="s">
        <v>533</v>
      </c>
      <c r="E245" s="38">
        <v>1120.29</v>
      </c>
      <c r="F245" s="40">
        <f t="shared" si="6"/>
        <v>5.6734023357900565E-3</v>
      </c>
    </row>
    <row r="246" spans="1:6">
      <c r="A246" s="38" t="s">
        <v>267</v>
      </c>
      <c r="B246" s="38">
        <v>606.79999999999995</v>
      </c>
      <c r="C246" s="39">
        <f t="shared" si="7"/>
        <v>-1.8329477617976875E-2</v>
      </c>
      <c r="D246" s="38" t="s">
        <v>534</v>
      </c>
      <c r="E246" s="38">
        <v>1113.97</v>
      </c>
      <c r="F246" s="40">
        <f t="shared" si="6"/>
        <v>-4.0767793443179379E-3</v>
      </c>
    </row>
    <row r="247" spans="1:6">
      <c r="A247" s="38" t="s">
        <v>268</v>
      </c>
      <c r="B247" s="38">
        <v>618.13</v>
      </c>
      <c r="C247" s="39">
        <f t="shared" si="7"/>
        <v>-1.566790502342208E-3</v>
      </c>
      <c r="D247" s="38" t="s">
        <v>535</v>
      </c>
      <c r="E247" s="38">
        <v>1118.53</v>
      </c>
      <c r="F247" s="40">
        <f t="shared" si="6"/>
        <v>-1.7618282261393392E-2</v>
      </c>
    </row>
    <row r="248" spans="1:6">
      <c r="A248" s="38" t="s">
        <v>269</v>
      </c>
      <c r="B248" s="38">
        <v>619.1</v>
      </c>
      <c r="C248" s="39">
        <f t="shared" si="7"/>
        <v>-1.9023666731152744E-3</v>
      </c>
      <c r="D248" s="38" t="s">
        <v>536</v>
      </c>
      <c r="E248" s="38">
        <v>1138.5899999999999</v>
      </c>
      <c r="F248" s="40">
        <f t="shared" si="6"/>
        <v>9.0215435878802097E-3</v>
      </c>
    </row>
    <row r="249" spans="1:6">
      <c r="A249" s="38" t="s">
        <v>270</v>
      </c>
      <c r="B249" s="38">
        <v>620.28</v>
      </c>
      <c r="C249" s="39">
        <f t="shared" si="7"/>
        <v>6.2914388036583446E-4</v>
      </c>
      <c r="D249" s="38" t="s">
        <v>537</v>
      </c>
      <c r="E249" s="38">
        <v>1128.4100000000001</v>
      </c>
      <c r="F249" s="40">
        <f t="shared" si="6"/>
        <v>3.8966931487594003E-3</v>
      </c>
    </row>
    <row r="250" spans="1:6">
      <c r="A250" s="38" t="s">
        <v>271</v>
      </c>
      <c r="B250" s="38">
        <v>619.89</v>
      </c>
      <c r="C250" s="39">
        <f t="shared" si="7"/>
        <v>6.3476086885936311E-3</v>
      </c>
      <c r="D250" s="38" t="s">
        <v>538</v>
      </c>
      <c r="E250" s="38">
        <v>1124.03</v>
      </c>
      <c r="F250" s="40">
        <f t="shared" si="6"/>
        <v>-1.495061739214254E-2</v>
      </c>
    </row>
    <row r="251" spans="1:6">
      <c r="A251" s="38" t="s">
        <v>272</v>
      </c>
      <c r="B251" s="38">
        <v>615.98</v>
      </c>
      <c r="C251" s="39">
        <f t="shared" si="7"/>
        <v>-2.1399634601636408E-2</v>
      </c>
      <c r="D251" s="38" t="s">
        <v>539</v>
      </c>
      <c r="E251" s="38">
        <v>1141.0899999999999</v>
      </c>
      <c r="F251" s="40">
        <f t="shared" si="6"/>
        <v>1.6316787944102407E-2</v>
      </c>
    </row>
    <row r="252" spans="1:6">
      <c r="A252" s="38" t="s">
        <v>273</v>
      </c>
      <c r="B252" s="38">
        <v>629.45000000000005</v>
      </c>
      <c r="C252" s="39">
        <f t="shared" si="7"/>
        <v>2.3163198959687881E-2</v>
      </c>
      <c r="D252" s="38" t="s">
        <v>540</v>
      </c>
      <c r="E252" s="38">
        <v>1122.77</v>
      </c>
      <c r="F252" s="40">
        <f t="shared" si="6"/>
        <v>-6.1167764322640483E-3</v>
      </c>
    </row>
    <row r="253" spans="1:6">
      <c r="A253" s="38" t="s">
        <v>274</v>
      </c>
      <c r="B253" s="38">
        <v>615.20000000000005</v>
      </c>
      <c r="C253" s="39">
        <f t="shared" si="7"/>
        <v>1.6456281805564688E-2</v>
      </c>
      <c r="D253" s="38" t="s">
        <v>541</v>
      </c>
      <c r="E253" s="38">
        <v>1129.68</v>
      </c>
      <c r="F253" s="40">
        <f t="shared" si="6"/>
        <v>3.321669005453165E-3</v>
      </c>
    </row>
    <row r="254" spans="1:6">
      <c r="A254" s="38" t="s">
        <v>275</v>
      </c>
      <c r="B254" s="38">
        <v>605.24</v>
      </c>
      <c r="C254" s="39">
        <f t="shared" si="7"/>
        <v>1.4074123718249343E-2</v>
      </c>
      <c r="D254" s="38" t="s">
        <v>542</v>
      </c>
      <c r="E254" s="38">
        <v>1125.94</v>
      </c>
      <c r="F254" s="40">
        <f t="shared" si="6"/>
        <v>1.1753499991014271E-2</v>
      </c>
    </row>
    <row r="255" spans="1:6">
      <c r="A255" s="38" t="s">
        <v>276</v>
      </c>
      <c r="B255" s="38">
        <v>596.84</v>
      </c>
      <c r="C255" s="39">
        <f t="shared" si="7"/>
        <v>2.3107515085024621E-2</v>
      </c>
      <c r="D255" s="38" t="s">
        <v>543</v>
      </c>
      <c r="E255" s="38">
        <v>1112.8599999999999</v>
      </c>
      <c r="F255" s="40">
        <f t="shared" si="6"/>
        <v>1.4346653055272052E-2</v>
      </c>
    </row>
    <row r="256" spans="1:6">
      <c r="A256" s="38" t="s">
        <v>277</v>
      </c>
      <c r="B256" s="38">
        <v>583.36</v>
      </c>
      <c r="C256" s="39">
        <f t="shared" si="7"/>
        <v>-1.1589291765503273E-2</v>
      </c>
      <c r="D256" s="38" t="s">
        <v>544</v>
      </c>
      <c r="E256" s="38">
        <v>1097.1199999999999</v>
      </c>
      <c r="F256" s="40">
        <f t="shared" si="6"/>
        <v>-2.3019314852578576E-2</v>
      </c>
    </row>
    <row r="257" spans="1:6">
      <c r="A257" s="38" t="s">
        <v>278</v>
      </c>
      <c r="B257" s="38">
        <v>590.20000000000005</v>
      </c>
      <c r="C257" s="39">
        <f t="shared" si="7"/>
        <v>1.5450259798355237E-2</v>
      </c>
      <c r="D257" s="38" t="s">
        <v>545</v>
      </c>
      <c r="E257" s="38">
        <v>1122.97</v>
      </c>
      <c r="F257" s="40">
        <f t="shared" si="6"/>
        <v>4.5083323642802764E-3</v>
      </c>
    </row>
    <row r="258" spans="1:6">
      <c r="A258" s="38" t="s">
        <v>279</v>
      </c>
      <c r="B258" s="38">
        <v>581.22</v>
      </c>
      <c r="C258" s="39">
        <f t="shared" si="7"/>
        <v>-1.5215181294476521E-2</v>
      </c>
      <c r="D258" s="38" t="s">
        <v>546</v>
      </c>
      <c r="E258" s="38">
        <v>1117.93</v>
      </c>
      <c r="F258" s="40">
        <f t="shared" si="6"/>
        <v>-6.3815982437270824E-3</v>
      </c>
    </row>
    <row r="259" spans="1:6">
      <c r="A259" s="38" t="s">
        <v>280</v>
      </c>
      <c r="B259" s="38">
        <v>590.20000000000005</v>
      </c>
      <c r="C259" s="39">
        <f t="shared" si="7"/>
        <v>-3.296631275396511E-2</v>
      </c>
      <c r="D259" s="38" t="s">
        <v>547</v>
      </c>
      <c r="E259" s="38">
        <v>1125.1099999999999</v>
      </c>
      <c r="F259" s="40">
        <f t="shared" ref="F259:F262" si="8">E259/E260-1</f>
        <v>-1.188259678212622E-2</v>
      </c>
    </row>
    <row r="260" spans="1:6">
      <c r="A260" s="38" t="s">
        <v>281</v>
      </c>
      <c r="B260" s="38">
        <v>610.32000000000005</v>
      </c>
      <c r="C260" s="39">
        <f t="shared" ref="C260:C262" si="9">B260/B261-1</f>
        <v>5.0790262043318046E-2</v>
      </c>
      <c r="D260" s="38" t="s">
        <v>548</v>
      </c>
      <c r="E260" s="38">
        <v>1138.6400000000001</v>
      </c>
      <c r="F260" s="40">
        <f t="shared" si="8"/>
        <v>-1.4983217412367189E-2</v>
      </c>
    </row>
    <row r="261" spans="1:6">
      <c r="A261" s="38" t="s">
        <v>282</v>
      </c>
      <c r="B261" s="38">
        <v>580.82000000000005</v>
      </c>
      <c r="C261" s="39">
        <f t="shared" si="9"/>
        <v>3.1908467469708324E-2</v>
      </c>
      <c r="D261" s="38" t="s">
        <v>549</v>
      </c>
      <c r="E261" s="38">
        <v>1155.96</v>
      </c>
      <c r="F261" s="40">
        <f t="shared" si="8"/>
        <v>1.2658671408923405E-2</v>
      </c>
    </row>
    <row r="262" spans="1:6">
      <c r="A262" s="38" t="s">
        <v>283</v>
      </c>
      <c r="B262" s="38">
        <v>562.86</v>
      </c>
      <c r="C262" s="39">
        <f t="shared" si="9"/>
        <v>1.7441446572221686E-3</v>
      </c>
      <c r="D262" s="38" t="s">
        <v>550</v>
      </c>
      <c r="E262" s="38">
        <v>1141.51</v>
      </c>
      <c r="F262" s="40">
        <f t="shared" si="8"/>
        <v>-2.2550673461003701E-3</v>
      </c>
    </row>
    <row r="263" spans="1:6">
      <c r="A263" s="38" t="s">
        <v>284</v>
      </c>
      <c r="B263" s="38">
        <v>561.88</v>
      </c>
      <c r="C263" s="41"/>
      <c r="D263" s="38" t="s">
        <v>551</v>
      </c>
      <c r="E263" s="38">
        <v>1144.0899999999999</v>
      </c>
      <c r="F263" s="40"/>
    </row>
    <row r="264" spans="1:6">
      <c r="A264" s="38" t="s">
        <v>285</v>
      </c>
      <c r="D264" s="38"/>
      <c r="E264" s="38"/>
      <c r="F264" s="40"/>
    </row>
    <row r="265" spans="1:6">
      <c r="A265" s="38" t="s">
        <v>287</v>
      </c>
      <c r="D265" s="38"/>
    </row>
    <row r="266" spans="1:6">
      <c r="A266" s="34" t="s">
        <v>288</v>
      </c>
    </row>
    <row r="267" spans="1:6">
      <c r="A267" t="s">
        <v>289</v>
      </c>
    </row>
    <row r="268" spans="1:6">
      <c r="A268" s="38" t="s">
        <v>729</v>
      </c>
    </row>
    <row r="269" spans="1:6">
      <c r="A269" t="s">
        <v>290</v>
      </c>
    </row>
  </sheetData>
  <mergeCells count="9">
    <mergeCell ref="I28:J28"/>
    <mergeCell ref="L16:M16"/>
    <mergeCell ref="L17:M17"/>
    <mergeCell ref="H4:I4"/>
    <mergeCell ref="H3:I3"/>
    <mergeCell ref="I19:J19"/>
    <mergeCell ref="I18:J18"/>
    <mergeCell ref="I17:J17"/>
    <mergeCell ref="H16:J16"/>
  </mergeCells>
  <hyperlinks>
    <hyperlink ref="A266" r:id="rId1" xr:uid="{84EB7A42-BF58-1544-8A16-F938FEB20595}"/>
    <hyperlink ref="O13" r:id="rId2" xr:uid="{84E45474-B2CA-E647-9CEF-EDF45DFAD86F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4672-F12F-F646-B309-397FE1B2351D}">
  <dimension ref="C5:M14"/>
  <sheetViews>
    <sheetView tabSelected="1" workbookViewId="0">
      <selection activeCell="F2" sqref="F2"/>
    </sheetView>
  </sheetViews>
  <sheetFormatPr baseColWidth="10" defaultRowHeight="16"/>
  <cols>
    <col min="11" max="11" width="17.33203125" bestFit="1" customWidth="1"/>
  </cols>
  <sheetData>
    <row r="5" spans="3:13" ht="17" thickBot="1">
      <c r="E5" s="365"/>
      <c r="F5" s="365"/>
    </row>
    <row r="6" spans="3:13" ht="27">
      <c r="C6" s="362" t="s">
        <v>702</v>
      </c>
      <c r="D6" s="363"/>
      <c r="E6" s="363"/>
      <c r="F6" s="363"/>
      <c r="G6" s="363"/>
      <c r="H6" s="363"/>
      <c r="I6" s="363"/>
      <c r="J6" s="363"/>
      <c r="K6" s="363"/>
      <c r="L6" s="363"/>
      <c r="M6" s="364"/>
    </row>
    <row r="7" spans="3:13" ht="24">
      <c r="C7" s="241" t="s">
        <v>658</v>
      </c>
      <c r="D7" s="242"/>
      <c r="E7" s="242"/>
      <c r="F7" s="242"/>
      <c r="G7" s="242"/>
      <c r="H7" s="242"/>
      <c r="I7" s="242"/>
      <c r="J7" s="242"/>
      <c r="K7" s="242"/>
      <c r="L7" s="242"/>
      <c r="M7" s="243"/>
    </row>
    <row r="8" spans="3:13" ht="31">
      <c r="C8" s="244" t="s">
        <v>659</v>
      </c>
      <c r="D8" s="175" t="s">
        <v>641</v>
      </c>
      <c r="E8" s="175" t="s">
        <v>649</v>
      </c>
      <c r="F8" s="175" t="s">
        <v>660</v>
      </c>
      <c r="G8" s="175" t="s">
        <v>21</v>
      </c>
      <c r="H8" s="175" t="s">
        <v>661</v>
      </c>
      <c r="I8" s="175" t="s">
        <v>662</v>
      </c>
      <c r="J8" s="175" t="s">
        <v>645</v>
      </c>
      <c r="K8" s="245" t="s">
        <v>663</v>
      </c>
      <c r="L8" s="245" t="s">
        <v>646</v>
      </c>
      <c r="M8" s="246" t="s">
        <v>661</v>
      </c>
    </row>
    <row r="9" spans="3:13" ht="27">
      <c r="C9" s="244"/>
      <c r="D9" s="175"/>
      <c r="E9" s="175"/>
      <c r="F9" s="175"/>
      <c r="G9" s="175"/>
      <c r="H9" s="175"/>
      <c r="I9" s="175"/>
      <c r="J9" s="175"/>
      <c r="K9" s="175"/>
      <c r="L9" s="175"/>
      <c r="M9" s="246"/>
    </row>
    <row r="10" spans="3:13" ht="27">
      <c r="C10" s="244" t="s">
        <v>659</v>
      </c>
      <c r="D10" s="175" t="s">
        <v>641</v>
      </c>
      <c r="E10" s="175" t="s">
        <v>649</v>
      </c>
      <c r="F10" s="247">
        <v>7.35</v>
      </c>
      <c r="G10" s="175" t="s">
        <v>21</v>
      </c>
      <c r="H10" s="247">
        <v>2.25</v>
      </c>
      <c r="I10" s="175" t="s">
        <v>662</v>
      </c>
      <c r="J10" s="175" t="s">
        <v>645</v>
      </c>
      <c r="K10" s="248">
        <f>'DSV - Betaværdi'!I19</f>
        <v>1.2125088218648761</v>
      </c>
      <c r="L10" s="245" t="s">
        <v>646</v>
      </c>
      <c r="M10" s="255">
        <f>H10</f>
        <v>2.25</v>
      </c>
    </row>
    <row r="11" spans="3:13" ht="27">
      <c r="C11" s="244"/>
      <c r="D11" s="175"/>
      <c r="E11" s="175"/>
      <c r="F11" s="175"/>
      <c r="G11" s="175"/>
      <c r="H11" s="175"/>
      <c r="I11" s="175"/>
      <c r="J11" s="175"/>
      <c r="K11" s="249"/>
      <c r="L11" s="175"/>
      <c r="M11" s="255"/>
    </row>
    <row r="12" spans="3:13" ht="27">
      <c r="C12" s="244" t="s">
        <v>659</v>
      </c>
      <c r="D12" s="175" t="s">
        <v>641</v>
      </c>
      <c r="E12" s="175"/>
      <c r="F12" s="361">
        <f>F10-H10</f>
        <v>5.0999999999999996</v>
      </c>
      <c r="G12" s="361"/>
      <c r="H12" s="361"/>
      <c r="I12" s="175"/>
      <c r="J12" s="175" t="s">
        <v>645</v>
      </c>
      <c r="K12" s="250">
        <f>1.21</f>
        <v>1.21</v>
      </c>
      <c r="L12" s="245" t="s">
        <v>646</v>
      </c>
      <c r="M12" s="255">
        <f>M10</f>
        <v>2.25</v>
      </c>
    </row>
    <row r="13" spans="3:13" ht="27">
      <c r="C13" s="244"/>
      <c r="D13" s="175"/>
      <c r="E13" s="175"/>
      <c r="F13" s="175"/>
      <c r="G13" s="175"/>
      <c r="H13" s="175"/>
      <c r="I13" s="175"/>
      <c r="J13" s="175"/>
      <c r="K13" s="175"/>
      <c r="L13" s="175"/>
      <c r="M13" s="246"/>
    </row>
    <row r="14" spans="3:13" ht="28" thickBot="1">
      <c r="C14" s="251" t="s">
        <v>659</v>
      </c>
      <c r="D14" s="252" t="s">
        <v>641</v>
      </c>
      <c r="E14" s="252"/>
      <c r="F14" s="253">
        <f>F12*K12+M12</f>
        <v>8.4209999999999994</v>
      </c>
      <c r="G14" s="252"/>
      <c r="H14" s="252"/>
      <c r="I14" s="252"/>
      <c r="J14" s="252"/>
      <c r="K14" s="252"/>
      <c r="L14" s="252"/>
      <c r="M14" s="254"/>
    </row>
  </sheetData>
  <mergeCells count="3">
    <mergeCell ref="F12:H12"/>
    <mergeCell ref="C6:M6"/>
    <mergeCell ref="E5:F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99F0-9F69-B74D-8246-9EDD6AFBE685}">
  <dimension ref="A3:R25"/>
  <sheetViews>
    <sheetView topLeftCell="B1" workbookViewId="0">
      <selection activeCell="I19" sqref="I19"/>
    </sheetView>
  </sheetViews>
  <sheetFormatPr baseColWidth="10" defaultRowHeight="16"/>
  <cols>
    <col min="4" max="4" width="2" customWidth="1"/>
    <col min="5" max="5" width="26.33203125" bestFit="1" customWidth="1"/>
    <col min="6" max="6" width="3" customWidth="1"/>
    <col min="7" max="7" width="24.6640625" bestFit="1" customWidth="1"/>
    <col min="8" max="8" width="3.1640625" bestFit="1" customWidth="1"/>
    <col min="9" max="9" width="26.33203125" bestFit="1" customWidth="1"/>
    <col min="10" max="10" width="3.83203125" customWidth="1"/>
    <col min="11" max="11" width="10.5" customWidth="1"/>
    <col min="12" max="12" width="3" customWidth="1"/>
    <col min="13" max="13" width="10.83203125" customWidth="1"/>
    <col min="17" max="17" width="24.5" bestFit="1" customWidth="1"/>
    <col min="18" max="18" width="39.5" bestFit="1" customWidth="1"/>
  </cols>
  <sheetData>
    <row r="3" spans="1:18" ht="28" thickBot="1">
      <c r="A3" s="173"/>
      <c r="B3" s="175"/>
      <c r="C3" s="369" t="s">
        <v>703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175"/>
    </row>
    <row r="4" spans="1:18" ht="28" thickBot="1">
      <c r="B4" s="175"/>
      <c r="C4" s="374" t="s">
        <v>640</v>
      </c>
      <c r="D4" s="366" t="s">
        <v>641</v>
      </c>
      <c r="E4" s="265" t="s">
        <v>642</v>
      </c>
      <c r="F4" s="366" t="s">
        <v>645</v>
      </c>
      <c r="G4" s="366" t="s">
        <v>644</v>
      </c>
      <c r="H4" s="366" t="s">
        <v>646</v>
      </c>
      <c r="I4" s="266" t="s">
        <v>647</v>
      </c>
      <c r="J4" s="366" t="s">
        <v>645</v>
      </c>
      <c r="K4" s="366" t="s">
        <v>648</v>
      </c>
      <c r="L4" s="366" t="s">
        <v>645</v>
      </c>
      <c r="M4" s="370" t="s">
        <v>650</v>
      </c>
      <c r="N4" s="175"/>
    </row>
    <row r="5" spans="1:18" ht="27">
      <c r="B5" s="175"/>
      <c r="C5" s="371"/>
      <c r="D5" s="367"/>
      <c r="E5" s="176" t="s">
        <v>643</v>
      </c>
      <c r="F5" s="367"/>
      <c r="G5" s="367"/>
      <c r="H5" s="367"/>
      <c r="I5" s="267" t="s">
        <v>643</v>
      </c>
      <c r="J5" s="367"/>
      <c r="K5" s="367"/>
      <c r="L5" s="367"/>
      <c r="M5" s="368"/>
      <c r="N5" s="175"/>
    </row>
    <row r="6" spans="1:18">
      <c r="C6" s="168"/>
      <c r="M6" s="208"/>
    </row>
    <row r="7" spans="1:18" ht="17" thickBot="1">
      <c r="C7" s="168"/>
      <c r="M7" s="208"/>
    </row>
    <row r="8" spans="1:18" ht="28" thickBot="1">
      <c r="C8" s="371" t="s">
        <v>640</v>
      </c>
      <c r="D8" s="367" t="s">
        <v>641</v>
      </c>
      <c r="E8" s="177">
        <f>R20</f>
        <v>251521500000</v>
      </c>
      <c r="F8" s="367" t="s">
        <v>645</v>
      </c>
      <c r="G8" s="372">
        <f>CAPM!F14/100</f>
        <v>8.4209999999999993E-2</v>
      </c>
      <c r="H8" s="367" t="s">
        <v>646</v>
      </c>
      <c r="I8" s="207">
        <f>R14</f>
        <v>34583000000</v>
      </c>
      <c r="J8" s="367" t="s">
        <v>645</v>
      </c>
      <c r="K8" s="373">
        <f>R11</f>
        <v>1.5778562653562655E-2</v>
      </c>
      <c r="L8" s="367" t="s">
        <v>645</v>
      </c>
      <c r="M8" s="368" t="s">
        <v>664</v>
      </c>
      <c r="Q8" s="211" t="s">
        <v>653</v>
      </c>
      <c r="R8" s="209" t="s">
        <v>677</v>
      </c>
    </row>
    <row r="9" spans="1:18" ht="27">
      <c r="C9" s="371"/>
      <c r="D9" s="367"/>
      <c r="E9" s="206">
        <f>E8+I8</f>
        <v>286104500000</v>
      </c>
      <c r="F9" s="367"/>
      <c r="G9" s="372"/>
      <c r="H9" s="367"/>
      <c r="I9" s="205">
        <f>I8+E8</f>
        <v>286104500000</v>
      </c>
      <c r="J9" s="367"/>
      <c r="K9" s="367"/>
      <c r="L9" s="367"/>
      <c r="M9" s="368"/>
      <c r="Q9" s="212" t="s">
        <v>665</v>
      </c>
      <c r="R9" s="208">
        <v>1233</v>
      </c>
    </row>
    <row r="10" spans="1:18" ht="17" thickBot="1">
      <c r="C10" s="168"/>
      <c r="M10" s="208"/>
      <c r="Q10" s="213" t="s">
        <v>613</v>
      </c>
      <c r="R10" s="170">
        <f>'EBIT &amp; FCF &amp; Balance'!R43</f>
        <v>78144</v>
      </c>
    </row>
    <row r="11" spans="1:18" ht="17" thickBot="1">
      <c r="C11" s="168"/>
      <c r="M11" s="208"/>
      <c r="Q11" s="54" t="s">
        <v>666</v>
      </c>
      <c r="R11" s="210">
        <f>R9/R10</f>
        <v>1.5778562653562655E-2</v>
      </c>
    </row>
    <row r="12" spans="1:18" ht="28" thickBot="1">
      <c r="C12" s="244" t="s">
        <v>667</v>
      </c>
      <c r="D12" s="175" t="s">
        <v>641</v>
      </c>
      <c r="E12" s="268">
        <f>E8/E9</f>
        <v>0.87912458559722062</v>
      </c>
      <c r="F12" s="175" t="s">
        <v>645</v>
      </c>
      <c r="G12" s="269">
        <f>G8</f>
        <v>8.4209999999999993E-2</v>
      </c>
      <c r="H12" s="175" t="s">
        <v>646</v>
      </c>
      <c r="I12" s="270">
        <f>I8/I9</f>
        <v>0.12087541440277941</v>
      </c>
      <c r="J12" s="175" t="s">
        <v>645</v>
      </c>
      <c r="K12" s="271">
        <f>K8</f>
        <v>1.5778562653562655E-2</v>
      </c>
      <c r="L12" s="175" t="s">
        <v>645</v>
      </c>
      <c r="M12" s="246">
        <f>1-0.22</f>
        <v>0.78</v>
      </c>
      <c r="Q12" t="s">
        <v>655</v>
      </c>
    </row>
    <row r="13" spans="1:18" ht="17" thickBot="1">
      <c r="C13" s="168"/>
      <c r="M13" s="208"/>
      <c r="Q13" s="54" t="s">
        <v>675</v>
      </c>
      <c r="R13" s="201" t="s">
        <v>656</v>
      </c>
    </row>
    <row r="14" spans="1:18" ht="17" thickBot="1">
      <c r="C14" s="168"/>
      <c r="M14" s="208"/>
      <c r="Q14" s="54" t="s">
        <v>657</v>
      </c>
      <c r="R14" s="202">
        <f>34583*1000000</f>
        <v>34583000000</v>
      </c>
    </row>
    <row r="15" spans="1:18" ht="27">
      <c r="C15" s="244" t="s">
        <v>640</v>
      </c>
      <c r="D15" s="175" t="s">
        <v>641</v>
      </c>
      <c r="E15" s="175">
        <f>E12*G12</f>
        <v>7.4031081353141945E-2</v>
      </c>
      <c r="F15" s="175" t="s">
        <v>646</v>
      </c>
      <c r="G15" s="270">
        <f>I12*K12*M12</f>
        <v>1.4876474335550915E-3</v>
      </c>
      <c r="H15" s="175"/>
      <c r="I15" s="175"/>
      <c r="M15" s="208"/>
      <c r="Q15" t="s">
        <v>655</v>
      </c>
    </row>
    <row r="16" spans="1:18" ht="17" thickBot="1">
      <c r="C16" s="168"/>
      <c r="M16" s="208"/>
    </row>
    <row r="17" spans="3:18" ht="17" thickBot="1">
      <c r="C17" s="168"/>
      <c r="M17" s="208"/>
      <c r="Q17" s="54" t="s">
        <v>676</v>
      </c>
      <c r="R17" s="201" t="s">
        <v>654</v>
      </c>
    </row>
    <row r="18" spans="3:18" ht="28" thickBot="1">
      <c r="C18" s="251" t="s">
        <v>668</v>
      </c>
      <c r="D18" s="174" t="s">
        <v>641</v>
      </c>
      <c r="E18" s="272">
        <f>E15+G15</f>
        <v>7.5518728786697034E-2</v>
      </c>
      <c r="F18" s="252"/>
      <c r="G18" s="252" t="s">
        <v>669</v>
      </c>
      <c r="H18" s="252"/>
      <c r="I18" s="273">
        <f>E15+G15</f>
        <v>7.5518728786697034E-2</v>
      </c>
      <c r="J18" s="174"/>
      <c r="K18" s="174"/>
      <c r="L18" s="174"/>
      <c r="M18" s="230"/>
      <c r="Q18" s="168" t="s">
        <v>651</v>
      </c>
      <c r="R18" s="197">
        <v>1148.5</v>
      </c>
    </row>
    <row r="19" spans="3:18">
      <c r="Q19" s="168" t="s">
        <v>13</v>
      </c>
      <c r="R19" s="169">
        <v>219000000</v>
      </c>
    </row>
    <row r="20" spans="3:18" ht="17" thickBot="1">
      <c r="Q20" s="198" t="s">
        <v>652</v>
      </c>
      <c r="R20" s="199">
        <f>R18*R19</f>
        <v>251521500000</v>
      </c>
    </row>
    <row r="21" spans="3:18">
      <c r="Q21" t="s">
        <v>16</v>
      </c>
    </row>
    <row r="22" spans="3:18">
      <c r="N22" s="107"/>
    </row>
    <row r="24" spans="3:18">
      <c r="N24" s="4"/>
    </row>
    <row r="25" spans="3:18">
      <c r="N25" s="4"/>
    </row>
  </sheetData>
  <mergeCells count="19">
    <mergeCell ref="C3:M3"/>
    <mergeCell ref="K4:K5"/>
    <mergeCell ref="L4:L5"/>
    <mergeCell ref="M4:M5"/>
    <mergeCell ref="C8:C9"/>
    <mergeCell ref="D8:D9"/>
    <mergeCell ref="F8:F9"/>
    <mergeCell ref="G8:G9"/>
    <mergeCell ref="H8:H9"/>
    <mergeCell ref="J8:J9"/>
    <mergeCell ref="K8:K9"/>
    <mergeCell ref="C4:C5"/>
    <mergeCell ref="D4:D5"/>
    <mergeCell ref="G4:G5"/>
    <mergeCell ref="F4:F5"/>
    <mergeCell ref="H4:H5"/>
    <mergeCell ref="J4:J5"/>
    <mergeCell ref="L8:L9"/>
    <mergeCell ref="M8:M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97148-444B-8A42-BD87-1DA226E45812}">
  <dimension ref="A4:W51"/>
  <sheetViews>
    <sheetView topLeftCell="B12" workbookViewId="0">
      <selection activeCell="M42" sqref="M42"/>
    </sheetView>
  </sheetViews>
  <sheetFormatPr baseColWidth="10" defaultRowHeight="16"/>
  <cols>
    <col min="1" max="1" width="11.83203125" customWidth="1"/>
    <col min="2" max="2" width="11.5" bestFit="1" customWidth="1"/>
    <col min="4" max="4" width="25.83203125" bestFit="1" customWidth="1"/>
    <col min="5" max="5" width="13" bestFit="1" customWidth="1"/>
    <col min="6" max="9" width="11.5" bestFit="1" customWidth="1"/>
    <col min="11" max="11" width="11.33203125" bestFit="1" customWidth="1"/>
    <col min="12" max="12" width="14" customWidth="1"/>
    <col min="13" max="17" width="14.83203125" bestFit="1" customWidth="1"/>
    <col min="18" max="18" width="30.83203125" bestFit="1" customWidth="1"/>
    <col min="23" max="23" width="12.83203125" bestFit="1" customWidth="1"/>
  </cols>
  <sheetData>
    <row r="4" spans="1:23">
      <c r="A4" s="58"/>
      <c r="B4" s="59"/>
      <c r="C4" s="58"/>
      <c r="D4" s="58"/>
      <c r="E4" s="58"/>
      <c r="F4" s="58"/>
    </row>
    <row r="5" spans="1:23">
      <c r="B5" s="57"/>
    </row>
    <row r="6" spans="1:23">
      <c r="A6" s="58"/>
      <c r="B6" s="59"/>
      <c r="C6" s="58"/>
      <c r="D6" s="58"/>
      <c r="E6" s="58"/>
      <c r="F6" s="58"/>
    </row>
    <row r="7" spans="1:23">
      <c r="B7" s="56"/>
    </row>
    <row r="8" spans="1:23">
      <c r="B8" s="56"/>
    </row>
    <row r="9" spans="1:23">
      <c r="B9" s="56"/>
    </row>
    <row r="10" spans="1:23">
      <c r="A10" s="58"/>
      <c r="B10" s="59"/>
      <c r="C10" s="58"/>
      <c r="D10" s="58"/>
      <c r="E10" s="58"/>
      <c r="F10" s="58"/>
    </row>
    <row r="11" spans="1:23">
      <c r="B11" s="56"/>
    </row>
    <row r="12" spans="1:23">
      <c r="B12" s="56"/>
    </row>
    <row r="13" spans="1:23">
      <c r="A13" s="58"/>
      <c r="B13" s="59"/>
      <c r="C13" s="58"/>
      <c r="D13" s="376" t="s">
        <v>579</v>
      </c>
      <c r="E13" s="377"/>
      <c r="F13" s="377"/>
      <c r="G13" s="377"/>
      <c r="H13" s="377"/>
      <c r="I13" s="378"/>
      <c r="L13" s="376" t="s">
        <v>580</v>
      </c>
      <c r="M13" s="377"/>
      <c r="N13" s="377"/>
      <c r="O13" s="377"/>
      <c r="P13" s="377"/>
      <c r="Q13" s="378"/>
    </row>
    <row r="14" spans="1:23">
      <c r="D14" s="61" t="s">
        <v>563</v>
      </c>
      <c r="E14" s="60">
        <v>2019</v>
      </c>
      <c r="F14" s="60">
        <v>2020</v>
      </c>
      <c r="G14" s="60">
        <v>2021</v>
      </c>
      <c r="H14" s="60">
        <v>2022</v>
      </c>
      <c r="I14" s="64">
        <v>2023</v>
      </c>
      <c r="L14" s="61" t="s">
        <v>563</v>
      </c>
      <c r="M14" s="60">
        <v>2024</v>
      </c>
      <c r="N14" s="60">
        <v>2025</v>
      </c>
      <c r="O14" s="60">
        <v>2026</v>
      </c>
      <c r="P14" s="60">
        <v>2027</v>
      </c>
      <c r="Q14" s="64">
        <v>2028</v>
      </c>
    </row>
    <row r="15" spans="1:23">
      <c r="D15" s="62" t="s">
        <v>564</v>
      </c>
      <c r="E15" s="80">
        <v>94701</v>
      </c>
      <c r="F15" s="80">
        <v>115932</v>
      </c>
      <c r="G15" s="80">
        <v>182306</v>
      </c>
      <c r="H15" s="80">
        <v>235665</v>
      </c>
      <c r="I15" s="81">
        <v>150785</v>
      </c>
      <c r="L15" s="62" t="s">
        <v>564</v>
      </c>
      <c r="M15" s="80">
        <f>I15+(I15*M16)</f>
        <v>155403.03306022217</v>
      </c>
      <c r="N15" s="80">
        <f>M15+(M15*N16)</f>
        <v>160162.50080788211</v>
      </c>
      <c r="O15" s="80">
        <f>N15+(N15*O16)</f>
        <v>165067.73490768421</v>
      </c>
      <c r="P15" s="80">
        <f>O15+(O15*P16)</f>
        <v>177338.73919127783</v>
      </c>
      <c r="Q15" s="81">
        <f>P15+(P15*Q16)</f>
        <v>190521.9601852551</v>
      </c>
      <c r="R15" s="81"/>
      <c r="S15" s="81"/>
      <c r="T15" s="81"/>
      <c r="U15" s="81"/>
      <c r="V15" s="81"/>
      <c r="W15" s="81"/>
    </row>
    <row r="16" spans="1:23">
      <c r="D16" s="61" t="s">
        <v>565</v>
      </c>
      <c r="E16" s="82">
        <v>-70947</v>
      </c>
      <c r="F16" s="83">
        <v>-87398</v>
      </c>
      <c r="G16" s="83">
        <v>-144691</v>
      </c>
      <c r="H16" s="83">
        <v>-183516</v>
      </c>
      <c r="I16" s="84">
        <v>-106967</v>
      </c>
      <c r="L16" s="79" t="s">
        <v>578</v>
      </c>
      <c r="M16" s="88">
        <f>'Årlig vækst'!G13</f>
        <v>3.0626607820553552E-2</v>
      </c>
      <c r="N16" s="88">
        <f>'Årlig vækst'!G13</f>
        <v>3.0626607820553552E-2</v>
      </c>
      <c r="O16" s="88">
        <f>'Årlig vækst'!$G$13</f>
        <v>3.0626607820553552E-2</v>
      </c>
      <c r="P16" s="88">
        <f>'Årlig vækst'!K17</f>
        <v>7.4339205602211036E-2</v>
      </c>
      <c r="Q16" s="89">
        <f>'Årlig vækst'!$K$17</f>
        <v>7.4339205602211036E-2</v>
      </c>
      <c r="R16" s="89"/>
      <c r="S16" s="89"/>
      <c r="T16" s="89"/>
      <c r="U16" s="89"/>
      <c r="V16" s="89"/>
      <c r="W16" s="89"/>
    </row>
    <row r="17" spans="4:23">
      <c r="D17" s="62" t="s">
        <v>566</v>
      </c>
      <c r="E17" s="80">
        <f>SUM(E15:E16)</f>
        <v>23754</v>
      </c>
      <c r="F17" s="80">
        <f>SUM(F15:F16)</f>
        <v>28534</v>
      </c>
      <c r="G17" s="80">
        <f>SUM(G15:G16)</f>
        <v>37615</v>
      </c>
      <c r="H17" s="80">
        <f>SUM(H15:H16)</f>
        <v>52149</v>
      </c>
      <c r="I17" s="81">
        <f>SUM(I15:I16)</f>
        <v>43818</v>
      </c>
      <c r="L17" s="61" t="s">
        <v>565</v>
      </c>
      <c r="M17" s="82">
        <f>-$J$32*M34</f>
        <v>-116325.60649733862</v>
      </c>
      <c r="N17" s="82">
        <f>-$J$32*N34</f>
        <v>-119888.26522702065</v>
      </c>
      <c r="O17" s="82">
        <f>-$J$32*O34</f>
        <v>-123560.03610841514</v>
      </c>
      <c r="P17" s="82">
        <f>-$J$32*P34</f>
        <v>-132745.39103689522</v>
      </c>
      <c r="Q17" s="98">
        <f>-$J$32*Q34</f>
        <v>-142613.57795393287</v>
      </c>
    </row>
    <row r="18" spans="4:23">
      <c r="D18" s="61" t="s">
        <v>567</v>
      </c>
      <c r="E18" s="83">
        <v>-3133</v>
      </c>
      <c r="F18" s="83">
        <v>-3291</v>
      </c>
      <c r="G18" s="83">
        <v>-4173</v>
      </c>
      <c r="H18" s="83">
        <v>-5559</v>
      </c>
      <c r="I18" s="84">
        <v>-4838</v>
      </c>
      <c r="L18" s="62" t="s">
        <v>566</v>
      </c>
      <c r="M18" s="80">
        <f>SUM(M15:M17)</f>
        <v>39077.457189491368</v>
      </c>
      <c r="N18" s="80">
        <f>SUM(N15:N17)</f>
        <v>40274.266207469293</v>
      </c>
      <c r="O18" s="80">
        <f>SUM(O15:O17)</f>
        <v>41507.729425876896</v>
      </c>
      <c r="P18" s="80">
        <f>SUM(P15:P17)</f>
        <v>44593.422493588208</v>
      </c>
      <c r="Q18" s="81">
        <f>SUM(Q15:Q17)</f>
        <v>47908.456570527836</v>
      </c>
      <c r="R18" s="346"/>
    </row>
    <row r="19" spans="4:23">
      <c r="D19" s="63" t="s">
        <v>568</v>
      </c>
      <c r="E19" s="85">
        <v>-10329</v>
      </c>
      <c r="F19" s="85">
        <v>-11684</v>
      </c>
      <c r="G19" s="85">
        <v>-13025</v>
      </c>
      <c r="H19" s="85">
        <v>-16315</v>
      </c>
      <c r="I19" s="86">
        <v>-15983</v>
      </c>
      <c r="L19" s="61" t="s">
        <v>567</v>
      </c>
      <c r="M19" s="83">
        <f>-$J$33*M34</f>
        <v>-4302.7380484297346</v>
      </c>
      <c r="N19" s="83">
        <f>-$J$33*N34</f>
        <v>-4434.5163191935662</v>
      </c>
      <c r="O19" s="83">
        <f>-$J$33*O34</f>
        <v>-4570.3305113753531</v>
      </c>
      <c r="P19" s="83">
        <f>-$J$33*P34</f>
        <v>-4910.0852509305432</v>
      </c>
      <c r="Q19" s="84">
        <f>-$J$33*Q34</f>
        <v>-5275.097087923853</v>
      </c>
    </row>
    <row r="20" spans="4:23" ht="17" thickBot="1">
      <c r="D20" s="317" t="s">
        <v>707</v>
      </c>
      <c r="E20" s="290">
        <f>SUM(E17:E19)</f>
        <v>10292</v>
      </c>
      <c r="F20" s="290">
        <f>SUM(F17:F19)</f>
        <v>13559</v>
      </c>
      <c r="G20" s="290">
        <f>SUM(G17:G19)</f>
        <v>20417</v>
      </c>
      <c r="H20" s="290">
        <v>30275</v>
      </c>
      <c r="I20" s="291">
        <f>SUM(I17:I19)</f>
        <v>22997</v>
      </c>
      <c r="K20" s="293"/>
      <c r="L20" s="63" t="s">
        <v>568</v>
      </c>
      <c r="M20" s="83">
        <f>-$J$34*$M$34</f>
        <v>-14017.556200310943</v>
      </c>
      <c r="N20" s="83">
        <f>-$J$34*$N$34</f>
        <v>-14446.866396660434</v>
      </c>
      <c r="O20" s="83">
        <f>-$J$34*$O$34</f>
        <v>-14889.324908026891</v>
      </c>
      <c r="P20" s="83">
        <f>-$J$34*$P$34</f>
        <v>-15996.185493642823</v>
      </c>
      <c r="Q20" s="84">
        <f>-$J$34*$Q$34</f>
        <v>-17185.32921590584</v>
      </c>
    </row>
    <row r="21" spans="4:23">
      <c r="D21" s="63" t="s">
        <v>569</v>
      </c>
      <c r="E21" s="85">
        <v>-3638</v>
      </c>
      <c r="F21" s="85">
        <v>-4039</v>
      </c>
      <c r="G21" s="85">
        <v>-4194</v>
      </c>
      <c r="H21" s="85">
        <v>-5071</v>
      </c>
      <c r="I21" s="86">
        <v>-5274</v>
      </c>
      <c r="L21" s="79" t="s">
        <v>707</v>
      </c>
      <c r="M21" s="292">
        <f>SUM(M18:M20)</f>
        <v>20757.162940750692</v>
      </c>
      <c r="N21" s="292">
        <f t="shared" ref="N21:Q21" si="0">SUM(N18:N20)</f>
        <v>21392.883491615292</v>
      </c>
      <c r="O21" s="292">
        <f t="shared" si="0"/>
        <v>22048.074006474653</v>
      </c>
      <c r="P21" s="292">
        <f t="shared" si="0"/>
        <v>23687.151749014847</v>
      </c>
      <c r="Q21" s="311">
        <f t="shared" si="0"/>
        <v>25448.030266698144</v>
      </c>
    </row>
    <row r="22" spans="4:23">
      <c r="D22" s="62" t="s">
        <v>709</v>
      </c>
      <c r="E22" s="81">
        <f>SUM(E20:E21)</f>
        <v>6654</v>
      </c>
      <c r="F22" s="81">
        <f t="shared" ref="F22:H22" si="1">SUM(F20:F21)</f>
        <v>9520</v>
      </c>
      <c r="G22" s="81">
        <f t="shared" si="1"/>
        <v>16223</v>
      </c>
      <c r="H22" s="81">
        <f t="shared" si="1"/>
        <v>25204</v>
      </c>
      <c r="I22" s="81">
        <f>SUM(I20:I21)</f>
        <v>17723</v>
      </c>
      <c r="L22" s="63" t="s">
        <v>569</v>
      </c>
      <c r="M22" s="83">
        <f>-$J$35*M34</f>
        <v>-4686.5019332260208</v>
      </c>
      <c r="N22" s="83">
        <f>-$J$35*N34</f>
        <v>-4830.0335899852007</v>
      </c>
      <c r="O22" s="83">
        <f>-$J$35*O34</f>
        <v>-4977.9611345057783</v>
      </c>
      <c r="P22" s="83">
        <f>-$J$35*P34</f>
        <v>-5348.0188107636195</v>
      </c>
      <c r="Q22" s="84">
        <f>-$J$35*Q34</f>
        <v>-5745.5862807014673</v>
      </c>
    </row>
    <row r="23" spans="4:23" ht="17" thickBot="1">
      <c r="D23" s="294" t="s">
        <v>571</v>
      </c>
      <c r="E23" s="295">
        <v>-800</v>
      </c>
      <c r="F23" s="295">
        <v>-2164</v>
      </c>
      <c r="G23" s="295">
        <v>-478</v>
      </c>
      <c r="H23" s="295">
        <v>-1117</v>
      </c>
      <c r="I23" s="296" t="s">
        <v>21</v>
      </c>
      <c r="L23" s="62" t="s">
        <v>711</v>
      </c>
      <c r="M23" s="80">
        <f>SUM(M21:M22)</f>
        <v>16070.661007524672</v>
      </c>
      <c r="N23" s="80">
        <f>SUM(N21:N22)</f>
        <v>16562.849901630092</v>
      </c>
      <c r="O23" s="80">
        <f>SUM(O21:O22)</f>
        <v>17070.112871968875</v>
      </c>
      <c r="P23" s="80">
        <f t="shared" ref="P23" si="2">SUM(P21:P22)</f>
        <v>18339.132938251227</v>
      </c>
      <c r="Q23" s="81">
        <f>SUM(Q21:Q22)</f>
        <v>19702.443985996677</v>
      </c>
      <c r="W23" s="87"/>
    </row>
    <row r="24" spans="4:23" ht="17" thickBot="1">
      <c r="D24" s="318" t="s">
        <v>572</v>
      </c>
      <c r="E24" s="319">
        <f>SUM(E22:E23)</f>
        <v>5854</v>
      </c>
      <c r="F24" s="319">
        <f>SUM(F22:F23)</f>
        <v>7356</v>
      </c>
      <c r="G24" s="319">
        <f t="shared" ref="G24:I24" si="3">SUM(G22:G23)</f>
        <v>15745</v>
      </c>
      <c r="H24" s="319">
        <f t="shared" si="3"/>
        <v>24087</v>
      </c>
      <c r="I24" s="320">
        <f t="shared" si="3"/>
        <v>17723</v>
      </c>
      <c r="L24" s="294" t="s">
        <v>571</v>
      </c>
      <c r="M24" s="298">
        <f>-M34*$J$36</f>
        <v>-1041.1274332341814</v>
      </c>
      <c r="N24" s="298">
        <f>-N34*$J$36</f>
        <v>-1073.0136348230642</v>
      </c>
      <c r="O24" s="298">
        <f>-O34*$J$36</f>
        <v>-1105.8764026028971</v>
      </c>
      <c r="P24" s="298">
        <f>-P34*$J$36</f>
        <v>-1188.0863758666273</v>
      </c>
      <c r="Q24" s="312">
        <f>-Q34*$J$36</f>
        <v>-1276.4077732353621</v>
      </c>
    </row>
    <row r="25" spans="4:23" ht="17" thickBot="1">
      <c r="D25" s="301"/>
      <c r="E25" s="302"/>
      <c r="F25" s="302"/>
      <c r="G25" s="302"/>
      <c r="H25" s="302"/>
      <c r="I25" s="302"/>
      <c r="L25" s="313" t="s">
        <v>572</v>
      </c>
      <c r="M25" s="297">
        <f>SUM(M23:M24)</f>
        <v>15029.53357429049</v>
      </c>
      <c r="N25" s="297">
        <f>SUM(N23:N24)</f>
        <v>15489.836266807028</v>
      </c>
      <c r="O25" s="297">
        <f t="shared" ref="O25:P25" si="4">SUM(O23:O24)</f>
        <v>15964.236469365978</v>
      </c>
      <c r="P25" s="297">
        <f t="shared" si="4"/>
        <v>17151.046562384599</v>
      </c>
      <c r="Q25" s="314">
        <f>SUM(Q23:Q24)</f>
        <v>18426.036212761315</v>
      </c>
      <c r="W25" s="43"/>
    </row>
    <row r="26" spans="4:23">
      <c r="D26" s="303"/>
      <c r="E26" s="304"/>
      <c r="F26" s="304"/>
      <c r="G26" s="304"/>
      <c r="H26" s="304"/>
      <c r="I26" s="304"/>
      <c r="L26" s="305"/>
      <c r="M26" s="306"/>
      <c r="N26" s="306"/>
      <c r="O26" s="306"/>
      <c r="P26" s="306"/>
      <c r="Q26" s="307"/>
    </row>
    <row r="27" spans="4:23">
      <c r="D27" s="78" t="s">
        <v>577</v>
      </c>
      <c r="E27" s="77"/>
      <c r="F27" s="58"/>
      <c r="G27" s="58"/>
      <c r="H27" s="58"/>
      <c r="I27" s="58"/>
      <c r="L27" s="315"/>
      <c r="M27" s="300"/>
      <c r="N27" s="300"/>
      <c r="O27" s="300"/>
      <c r="P27" s="300"/>
      <c r="Q27" s="316"/>
    </row>
    <row r="28" spans="4:23">
      <c r="K28" s="45"/>
      <c r="L28" s="99" t="s">
        <v>581</v>
      </c>
      <c r="M28" s="310">
        <f>$M$41</f>
        <v>9.6713060560783298E-2</v>
      </c>
      <c r="N28" s="310">
        <f>$M$41</f>
        <v>9.6713060560783298E-2</v>
      </c>
      <c r="O28" s="310">
        <f>$M$41</f>
        <v>9.6713060560783298E-2</v>
      </c>
      <c r="P28" s="310">
        <f>$M$41</f>
        <v>9.6713060560783298E-2</v>
      </c>
      <c r="Q28" s="310">
        <f>$M$41</f>
        <v>9.6713060560783298E-2</v>
      </c>
    </row>
    <row r="29" spans="4:23">
      <c r="D29" s="376" t="s">
        <v>573</v>
      </c>
      <c r="E29" s="377"/>
      <c r="F29" s="377"/>
      <c r="G29" s="377"/>
      <c r="H29" s="377"/>
      <c r="I29" s="377"/>
      <c r="J29" s="64"/>
      <c r="M29" s="4"/>
    </row>
    <row r="30" spans="4:23">
      <c r="D30" s="29" t="s">
        <v>575</v>
      </c>
      <c r="E30" s="19">
        <v>2019</v>
      </c>
      <c r="F30" s="19">
        <v>2020</v>
      </c>
      <c r="G30" s="19">
        <v>2021</v>
      </c>
      <c r="H30" s="19">
        <v>2022</v>
      </c>
      <c r="I30" s="19">
        <v>2023</v>
      </c>
      <c r="J30" s="70" t="s">
        <v>8</v>
      </c>
    </row>
    <row r="31" spans="4:23">
      <c r="D31" s="61" t="s">
        <v>574</v>
      </c>
      <c r="E31" s="93">
        <f t="shared" ref="E31:G31" si="5">E16+E18+E19+E21+E23</f>
        <v>-88847</v>
      </c>
      <c r="F31" s="93">
        <f t="shared" si="5"/>
        <v>-108576</v>
      </c>
      <c r="G31" s="93">
        <f t="shared" si="5"/>
        <v>-166561</v>
      </c>
      <c r="H31" s="93">
        <f>H16+H18+H19+H21+H23</f>
        <v>-211578</v>
      </c>
      <c r="I31" s="93">
        <f>I16+I18+I19+I21+I25</f>
        <v>-133062</v>
      </c>
      <c r="J31" s="71"/>
      <c r="L31" s="381" t="s">
        <v>583</v>
      </c>
      <c r="M31" s="381"/>
      <c r="N31" s="381"/>
      <c r="O31" s="381"/>
      <c r="P31" s="381"/>
      <c r="Q31" s="381"/>
    </row>
    <row r="32" spans="4:23">
      <c r="D32" s="61" t="s">
        <v>565</v>
      </c>
      <c r="E32" s="66">
        <f>E16/E31</f>
        <v>0.79853005728949766</v>
      </c>
      <c r="F32" s="66">
        <f>F16/F31</f>
        <v>0.80494768641320369</v>
      </c>
      <c r="G32" s="66">
        <f>G16/G31</f>
        <v>0.86869675374187239</v>
      </c>
      <c r="H32" s="66">
        <f>H16/H31</f>
        <v>0.86736806284207246</v>
      </c>
      <c r="I32" s="66">
        <f>I16/I31</f>
        <v>0.80388841292029278</v>
      </c>
      <c r="J32" s="72">
        <f>AVERAGE(E32:I32)</f>
        <v>0.82868619464138793</v>
      </c>
      <c r="K32" s="45"/>
      <c r="L32" s="61" t="s">
        <v>563</v>
      </c>
      <c r="M32" s="60">
        <v>2024</v>
      </c>
      <c r="N32" s="60">
        <v>2025</v>
      </c>
      <c r="O32" s="60">
        <v>2026</v>
      </c>
      <c r="P32" s="60">
        <v>2027</v>
      </c>
      <c r="Q32" s="64">
        <v>2028</v>
      </c>
    </row>
    <row r="33" spans="4:17">
      <c r="D33" s="63" t="s">
        <v>567</v>
      </c>
      <c r="E33" s="67">
        <f>E18/E31</f>
        <v>3.5262867626368925E-2</v>
      </c>
      <c r="F33" s="67">
        <f>F18/F31</f>
        <v>3.0310565870910699E-2</v>
      </c>
      <c r="G33" s="67">
        <f>G18/G31</f>
        <v>2.5053884162559062E-2</v>
      </c>
      <c r="H33" s="67">
        <f>H18/H31</f>
        <v>2.6273998241783173E-2</v>
      </c>
      <c r="I33" s="67">
        <f>I18/I31</f>
        <v>3.6358990545760625E-2</v>
      </c>
      <c r="J33" s="72">
        <f>AVERAGE(E33:I33)</f>
        <v>3.0652061289476496E-2</v>
      </c>
      <c r="L33" s="29" t="s">
        <v>708</v>
      </c>
      <c r="M33" s="90">
        <f>$M$28*(M15*($J$32+$J$33+$J$34+$J$35+$J$36))</f>
        <v>15029.502947682678</v>
      </c>
      <c r="N33" s="90">
        <f>$M$28*(N15*($J$32+$J$33+$J$34+$J$35+$J$36))</f>
        <v>15489.805640199209</v>
      </c>
      <c r="O33" s="90">
        <f>$M$28*(O15*($J$32+$J$33+$J$34+$J$35+$J$36))</f>
        <v>15964.205842758189</v>
      </c>
      <c r="P33" s="90">
        <f>$M$28*(P15*($J$32+$J$33+$J$34+$J$35+$J$36))</f>
        <v>17150.972223179011</v>
      </c>
      <c r="Q33" s="90">
        <f>$M$28*(Q15*($J$32+$J$33+$J$34+$J$35+$J$36))</f>
        <v>18425.961873555723</v>
      </c>
    </row>
    <row r="34" spans="4:17">
      <c r="D34" s="63" t="s">
        <v>568</v>
      </c>
      <c r="E34" s="67">
        <f>E19/E31</f>
        <v>0.11625603565680327</v>
      </c>
      <c r="F34" s="67">
        <f>F19/F31</f>
        <v>0.10761125847332743</v>
      </c>
      <c r="G34" s="67">
        <f>G19/G31</f>
        <v>7.819957853278979E-2</v>
      </c>
      <c r="H34" s="67">
        <f>H19/H31</f>
        <v>7.7111041790734386E-2</v>
      </c>
      <c r="I34" s="67">
        <f>I19/I31</f>
        <v>0.12011693796876644</v>
      </c>
      <c r="J34" s="72">
        <f t="shared" ref="J34:J35" si="6">AVERAGE(E34:I34)</f>
        <v>9.9858970484484263E-2</v>
      </c>
      <c r="L34" s="68" t="s">
        <v>582</v>
      </c>
      <c r="M34" s="91">
        <f>M15-M33</f>
        <v>140373.53011253948</v>
      </c>
      <c r="N34" s="91">
        <f>N15-N33</f>
        <v>144672.69516768289</v>
      </c>
      <c r="O34" s="91">
        <f>O15-O33</f>
        <v>149103.52906492603</v>
      </c>
      <c r="P34" s="91">
        <f>P15-P33</f>
        <v>160187.76696809882</v>
      </c>
      <c r="Q34" s="92">
        <f>Q15-Q33</f>
        <v>172095.99831169937</v>
      </c>
    </row>
    <row r="35" spans="4:17">
      <c r="D35" s="68" t="s">
        <v>569</v>
      </c>
      <c r="E35" s="69">
        <f>E21/E31</f>
        <v>4.0946796177698738E-2</v>
      </c>
      <c r="F35" s="69">
        <f>F21/F31</f>
        <v>3.7199749484232242E-2</v>
      </c>
      <c r="G35" s="69">
        <f>G21/G31</f>
        <v>2.5179964097237648E-2</v>
      </c>
      <c r="H35" s="69">
        <f>H21/H31</f>
        <v>2.3967520252578246E-2</v>
      </c>
      <c r="I35" s="69">
        <f>I21/I31</f>
        <v>3.9635658565180143E-2</v>
      </c>
      <c r="J35" s="72">
        <f t="shared" si="6"/>
        <v>3.3385937715385408E-2</v>
      </c>
    </row>
    <row r="36" spans="4:17">
      <c r="D36" s="29" t="s">
        <v>571</v>
      </c>
      <c r="E36" s="117">
        <f>E23/E31</f>
        <v>9.0042432496313888E-3</v>
      </c>
      <c r="F36" s="117">
        <f t="shared" ref="F36:H36" si="7">F23/F31</f>
        <v>1.9930739758325964E-2</v>
      </c>
      <c r="G36" s="117">
        <f t="shared" si="7"/>
        <v>2.869819465541153E-3</v>
      </c>
      <c r="H36" s="117">
        <f t="shared" si="7"/>
        <v>5.2793768728317692E-3</v>
      </c>
      <c r="I36" s="118">
        <v>0</v>
      </c>
      <c r="J36" s="94">
        <f>AVERAGE(E36:I36)</f>
        <v>7.4168358692660542E-3</v>
      </c>
      <c r="K36" s="45"/>
    </row>
    <row r="37" spans="4:17">
      <c r="D37" s="299"/>
      <c r="E37" s="308"/>
      <c r="F37" s="308"/>
      <c r="G37" s="308"/>
      <c r="H37" s="308"/>
      <c r="I37" s="308"/>
      <c r="J37" s="309"/>
    </row>
    <row r="38" spans="4:17" ht="17" thickBot="1">
      <c r="E38" s="67"/>
      <c r="F38" s="67"/>
      <c r="G38" s="67"/>
      <c r="H38" s="67"/>
      <c r="I38" s="67"/>
      <c r="J38" s="216"/>
      <c r="K38" s="216"/>
      <c r="L38" s="216"/>
    </row>
    <row r="39" spans="4:17" ht="17" thickBot="1">
      <c r="D39" s="379" t="s">
        <v>681</v>
      </c>
      <c r="E39" s="380"/>
      <c r="F39" s="380"/>
      <c r="G39" s="380"/>
      <c r="H39" s="380"/>
      <c r="I39" s="380"/>
      <c r="J39" s="375" t="s">
        <v>680</v>
      </c>
      <c r="K39" s="375"/>
      <c r="L39" s="375"/>
      <c r="M39" s="73"/>
    </row>
    <row r="40" spans="4:17" ht="17" thickBot="1">
      <c r="D40" s="76" t="s">
        <v>575</v>
      </c>
      <c r="E40" s="75">
        <v>2019</v>
      </c>
      <c r="F40" s="75">
        <v>2020</v>
      </c>
      <c r="G40" s="75">
        <v>2021</v>
      </c>
      <c r="H40" s="75">
        <v>2022</v>
      </c>
      <c r="I40" s="73">
        <v>2023</v>
      </c>
      <c r="J40" s="215">
        <v>2024</v>
      </c>
      <c r="K40" s="215">
        <v>2025</v>
      </c>
      <c r="L40" s="217">
        <v>2026</v>
      </c>
      <c r="M40" s="208" t="s">
        <v>8</v>
      </c>
    </row>
    <row r="41" spans="4:17" ht="17" thickBot="1">
      <c r="D41" s="258" t="s">
        <v>576</v>
      </c>
      <c r="E41" s="218">
        <f>E24/E15</f>
        <v>6.1815609127675523E-2</v>
      </c>
      <c r="F41" s="218">
        <f t="shared" ref="F41:H41" si="8">F24/F15</f>
        <v>6.3450988510506165E-2</v>
      </c>
      <c r="G41" s="218">
        <f t="shared" si="8"/>
        <v>8.6365780610621695E-2</v>
      </c>
      <c r="H41" s="218">
        <f t="shared" si="8"/>
        <v>0.10220864362548533</v>
      </c>
      <c r="I41" s="218">
        <f>I24/I15</f>
        <v>0.117538216666114</v>
      </c>
      <c r="J41" s="218">
        <f>J42/J43</f>
        <v>0.11149063631048957</v>
      </c>
      <c r="K41" s="218">
        <f t="shared" ref="K41:L41" si="9">K42/K43</f>
        <v>0.11505189765592959</v>
      </c>
      <c r="L41" s="218">
        <f t="shared" si="9"/>
        <v>0.11578271197944441</v>
      </c>
      <c r="M41" s="264">
        <f>AVERAGE(E41:L41)</f>
        <v>9.6713060560783298E-2</v>
      </c>
    </row>
    <row r="42" spans="4:17">
      <c r="D42" s="168"/>
      <c r="I42" s="35" t="s">
        <v>570</v>
      </c>
      <c r="J42" s="257">
        <v>16973</v>
      </c>
      <c r="K42" s="257">
        <v>18234</v>
      </c>
      <c r="L42" s="257">
        <v>19106</v>
      </c>
      <c r="M42" s="208"/>
    </row>
    <row r="43" spans="4:17" ht="17" thickBot="1">
      <c r="D43" s="260">
        <v>8</v>
      </c>
      <c r="E43" s="261"/>
      <c r="F43" s="261"/>
      <c r="G43" s="261"/>
      <c r="H43" s="261"/>
      <c r="I43" s="262" t="s">
        <v>17</v>
      </c>
      <c r="J43" s="263">
        <v>152237</v>
      </c>
      <c r="K43" s="263">
        <v>158485</v>
      </c>
      <c r="L43" s="263">
        <v>165016</v>
      </c>
      <c r="M43" s="230"/>
    </row>
    <row r="44" spans="4:17">
      <c r="D44" s="119"/>
      <c r="E44" s="120"/>
      <c r="F44" s="120"/>
      <c r="G44" s="120"/>
      <c r="H44" s="120"/>
      <c r="I44" s="259"/>
      <c r="J44" s="35" t="s">
        <v>587</v>
      </c>
      <c r="K44" s="35"/>
      <c r="L44" s="35"/>
    </row>
    <row r="45" spans="4:17">
      <c r="D45" s="120"/>
      <c r="E45" s="121"/>
      <c r="F45" s="121"/>
      <c r="G45" s="121"/>
      <c r="H45" s="121"/>
      <c r="I45" s="121"/>
      <c r="J45" s="43"/>
    </row>
    <row r="46" spans="4:17">
      <c r="M46" s="85"/>
      <c r="N46" s="85"/>
      <c r="O46" s="85"/>
    </row>
    <row r="48" spans="4:17">
      <c r="D48" s="219"/>
      <c r="E48" s="219"/>
      <c r="F48" s="219"/>
      <c r="G48" s="219"/>
    </row>
    <row r="49" spans="5:7">
      <c r="E49" s="3"/>
      <c r="F49" s="3"/>
      <c r="G49" s="3"/>
    </row>
    <row r="50" spans="5:7">
      <c r="E50" s="220"/>
      <c r="F50" s="220"/>
      <c r="G50" s="220"/>
    </row>
    <row r="51" spans="5:7">
      <c r="E51" s="221"/>
      <c r="F51" s="221"/>
      <c r="G51" s="221"/>
    </row>
  </sheetData>
  <mergeCells count="6">
    <mergeCell ref="J39:L39"/>
    <mergeCell ref="D13:I13"/>
    <mergeCell ref="D29:I29"/>
    <mergeCell ref="D39:I39"/>
    <mergeCell ref="L13:Q13"/>
    <mergeCell ref="L31:Q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092F-FD2B-8341-BD34-1B425F60E515}">
  <dimension ref="C1:AF68"/>
  <sheetViews>
    <sheetView topLeftCell="M12" zoomScale="63" workbookViewId="0">
      <selection activeCell="AB76" sqref="AB76"/>
    </sheetView>
  </sheetViews>
  <sheetFormatPr baseColWidth="10" defaultRowHeight="16"/>
  <cols>
    <col min="3" max="3" width="31.83203125" bestFit="1" customWidth="1"/>
    <col min="4" max="8" width="13.33203125" bestFit="1" customWidth="1"/>
    <col min="13" max="13" width="30.83203125" bestFit="1" customWidth="1"/>
    <col min="14" max="14" width="15.6640625" bestFit="1" customWidth="1"/>
    <col min="15" max="17" width="14.5" bestFit="1" customWidth="1"/>
    <col min="18" max="18" width="29.5" style="65" bestFit="1" customWidth="1"/>
    <col min="19" max="19" width="26" bestFit="1" customWidth="1"/>
    <col min="20" max="20" width="15.6640625" bestFit="1" customWidth="1"/>
    <col min="29" max="29" width="12.1640625" bestFit="1" customWidth="1"/>
    <col min="30" max="30" width="12.5" bestFit="1" customWidth="1"/>
    <col min="31" max="31" width="12.6640625" bestFit="1" customWidth="1"/>
  </cols>
  <sheetData>
    <row r="1" spans="3:32">
      <c r="C1" t="s">
        <v>674</v>
      </c>
    </row>
    <row r="4" spans="3:32" ht="37" customHeight="1">
      <c r="C4" s="382" t="s">
        <v>639</v>
      </c>
      <c r="D4" s="382"/>
      <c r="E4" s="382"/>
      <c r="F4" s="382"/>
      <c r="G4" s="382"/>
      <c r="H4" s="382"/>
      <c r="M4" s="128" t="s">
        <v>616</v>
      </c>
      <c r="N4" s="129"/>
      <c r="O4" s="129"/>
      <c r="P4" s="130"/>
      <c r="Q4" s="129"/>
      <c r="R4" s="131"/>
    </row>
    <row r="5" spans="3:32" ht="29" customHeight="1">
      <c r="C5" s="61" t="s">
        <v>563</v>
      </c>
      <c r="D5" s="60">
        <v>2024</v>
      </c>
      <c r="E5" s="60">
        <v>2025</v>
      </c>
      <c r="F5" s="60">
        <v>2026</v>
      </c>
      <c r="G5" s="60">
        <v>2027</v>
      </c>
      <c r="H5" s="64">
        <v>2028</v>
      </c>
      <c r="M5" s="132" t="s">
        <v>588</v>
      </c>
      <c r="N5" s="133">
        <v>2019</v>
      </c>
      <c r="O5" s="133" t="s">
        <v>617</v>
      </c>
      <c r="P5" s="133" t="s">
        <v>618</v>
      </c>
      <c r="Q5" s="133">
        <v>2022</v>
      </c>
      <c r="R5" s="147">
        <v>2023</v>
      </c>
      <c r="S5" s="122">
        <v>2024</v>
      </c>
      <c r="T5" s="122">
        <v>2025</v>
      </c>
      <c r="U5" s="134">
        <v>2026</v>
      </c>
      <c r="V5" s="122">
        <v>2027</v>
      </c>
      <c r="W5" s="122">
        <v>2028</v>
      </c>
      <c r="AC5" s="382" t="s">
        <v>626</v>
      </c>
      <c r="AD5" s="355"/>
      <c r="AE5" s="355"/>
      <c r="AF5" s="355"/>
    </row>
    <row r="6" spans="3:32" ht="17">
      <c r="C6" s="62" t="s">
        <v>564</v>
      </c>
      <c r="D6" s="80">
        <f>Resultatopgørelse!M15</f>
        <v>155403.03306022217</v>
      </c>
      <c r="E6" s="80">
        <f>Resultatopgørelse!N15</f>
        <v>160162.50080788211</v>
      </c>
      <c r="F6" s="80">
        <f>Resultatopgørelse!O15</f>
        <v>165067.73490768421</v>
      </c>
      <c r="G6" s="80">
        <f>Resultatopgørelse!P15</f>
        <v>177338.73919127783</v>
      </c>
      <c r="H6" s="81">
        <f>Resultatopgørelse!Q15</f>
        <v>190521.9601852551</v>
      </c>
      <c r="M6" s="135" t="s">
        <v>619</v>
      </c>
      <c r="N6" s="136">
        <v>51988</v>
      </c>
      <c r="O6" s="137">
        <v>48665</v>
      </c>
      <c r="P6" s="137">
        <v>76661</v>
      </c>
      <c r="Q6" s="137">
        <v>77674</v>
      </c>
      <c r="R6" s="138">
        <v>77106</v>
      </c>
      <c r="S6" s="127">
        <f>Resultatopgørelse!M15*'EBIT &amp; FCF &amp; Balance'!AF7</f>
        <v>65345.220245929137</v>
      </c>
      <c r="T6" s="127">
        <f>Resultatopgørelse!N15*'EBIT &amp; FCF &amp; Balance'!$AF$7</f>
        <v>67346.522679348898</v>
      </c>
      <c r="U6" s="127">
        <f>Resultatopgørelse!O15*'EBIT &amp; FCF &amp; Balance'!$AF$7</f>
        <v>69409.118217527342</v>
      </c>
      <c r="V6" s="127">
        <f>Resultatopgørelse!P15*'EBIT &amp; FCF &amp; Balance'!$AF$7</f>
        <v>74568.936927368282</v>
      </c>
      <c r="W6" s="127">
        <f>Resultatopgørelse!Q15*'EBIT &amp; FCF &amp; Balance'!$AF$7</f>
        <v>80112.332461150218</v>
      </c>
      <c r="AB6" s="58" t="s">
        <v>627</v>
      </c>
      <c r="AC6">
        <v>2021</v>
      </c>
      <c r="AD6">
        <v>2022</v>
      </c>
      <c r="AE6">
        <v>2023</v>
      </c>
      <c r="AF6" s="157" t="s">
        <v>8</v>
      </c>
    </row>
    <row r="7" spans="3:32" ht="24" customHeight="1">
      <c r="C7" s="61" t="s">
        <v>565</v>
      </c>
      <c r="D7" s="103">
        <f>Resultatopgørelse!M17</f>
        <v>-116325.60649733862</v>
      </c>
      <c r="E7" s="103">
        <f>Resultatopgørelse!N17</f>
        <v>-119888.26522702065</v>
      </c>
      <c r="F7" s="103">
        <f>Resultatopgørelse!O17</f>
        <v>-123560.03610841514</v>
      </c>
      <c r="G7" s="103">
        <f>Resultatopgørelse!P17</f>
        <v>-132745.39103689522</v>
      </c>
      <c r="H7" s="104">
        <f>Resultatopgørelse!Q17</f>
        <v>-142613.57795393287</v>
      </c>
      <c r="M7" s="135" t="s">
        <v>589</v>
      </c>
      <c r="N7" s="137">
        <v>11671</v>
      </c>
      <c r="O7" s="137">
        <v>11111</v>
      </c>
      <c r="P7" s="137">
        <v>13709</v>
      </c>
      <c r="Q7" s="137">
        <v>14694</v>
      </c>
      <c r="R7" s="138">
        <v>15655</v>
      </c>
      <c r="S7" s="127">
        <f>Resultatopgørelse!M15*'EBIT &amp; FCF &amp; Balance'!$AF$8</f>
        <v>12503.328547733454</v>
      </c>
      <c r="T7" s="127">
        <f>Resultatopgørelse!N15*'EBIT &amp; FCF &amp; Balance'!$AF$8</f>
        <v>12886.263087616418</v>
      </c>
      <c r="U7" s="127">
        <f>Resultatopgørelse!O15*'EBIT &amp; FCF &amp; Balance'!$AF$8</f>
        <v>13280.925613473322</v>
      </c>
      <c r="V7" s="127">
        <f>Resultatopgørelse!P15*'EBIT &amp; FCF &amp; Balance'!$AF$8</f>
        <v>14268.219073240987</v>
      </c>
      <c r="W7" s="127">
        <f>Resultatopgørelse!Q15*'EBIT &amp; FCF &amp; Balance'!$AF$8</f>
        <v>15328.907144504037</v>
      </c>
      <c r="AB7" s="114" t="s">
        <v>619</v>
      </c>
      <c r="AC7" s="21">
        <f>P6/Resultatopgørelse!G15</f>
        <v>0.42050727897052209</v>
      </c>
      <c r="AD7" s="21">
        <f>Q6/Resultatopgørelse!H15</f>
        <v>0.32959497591920733</v>
      </c>
      <c r="AE7" s="21">
        <f>R6/Resultatopgørelse!I15</f>
        <v>0.51136386245316179</v>
      </c>
      <c r="AF7" s="158">
        <f>AVERAGE(AC7:AE7)</f>
        <v>0.4204887057809637</v>
      </c>
    </row>
    <row r="8" spans="3:32" ht="24" customHeight="1">
      <c r="C8" s="62" t="s">
        <v>566</v>
      </c>
      <c r="D8" s="80">
        <f>Resultatopgørelse!M18</f>
        <v>39077.457189491368</v>
      </c>
      <c r="E8" s="80">
        <f>Resultatopgørelse!N18</f>
        <v>40274.266207469293</v>
      </c>
      <c r="F8" s="80">
        <f>Resultatopgørelse!O18</f>
        <v>41507.729425876896</v>
      </c>
      <c r="G8" s="80">
        <f>Resultatopgørelse!P18</f>
        <v>44593.422493588208</v>
      </c>
      <c r="H8" s="81">
        <f>Resultatopgørelse!Q18</f>
        <v>47908.456570527836</v>
      </c>
      <c r="M8" s="135" t="s">
        <v>620</v>
      </c>
      <c r="N8" s="137">
        <v>3022</v>
      </c>
      <c r="O8" s="137">
        <v>3014</v>
      </c>
      <c r="P8" s="137">
        <v>6262</v>
      </c>
      <c r="Q8" s="137">
        <v>6284</v>
      </c>
      <c r="R8" s="138">
        <v>6214</v>
      </c>
      <c r="S8" s="127">
        <f>Resultatopgørelse!M15*'EBIT &amp; FCF &amp; Balance'!$AF$9</f>
        <v>5295.3483636468109</v>
      </c>
      <c r="T8" s="127">
        <f>Resultatopgørelse!N15*'EBIT &amp; FCF &amp; Balance'!$AF$9</f>
        <v>5457.5269212534322</v>
      </c>
      <c r="U8" s="127">
        <f>Resultatopgørelse!O15*'EBIT &amp; FCF &amp; Balance'!$AF$9</f>
        <v>5624.6724579407737</v>
      </c>
      <c r="V8" s="127">
        <f>Resultatopgørelse!P15*'EBIT &amp; FCF &amp; Balance'!$AF$9</f>
        <v>6042.8061402367275</v>
      </c>
      <c r="W8" s="127">
        <f>Resultatopgørelse!Q15*'EBIT &amp; FCF &amp; Balance'!$AF$9</f>
        <v>6492.0235483100887</v>
      </c>
      <c r="AB8" s="114" t="s">
        <v>589</v>
      </c>
      <c r="AC8" s="21">
        <f>P7/Resultatopgørelse!G15</f>
        <v>7.5197744451636253E-2</v>
      </c>
      <c r="AD8" s="21">
        <f>Q7/Resultatopgørelse!H15</f>
        <v>6.2351218891222714E-2</v>
      </c>
      <c r="AE8" s="21">
        <f>R7/Resultatopgørelse!I15</f>
        <v>0.10382332460125344</v>
      </c>
      <c r="AF8" s="158">
        <f t="shared" ref="AF8:AF20" si="0">AVERAGE(AC8:AE8)</f>
        <v>8.0457429314704135E-2</v>
      </c>
    </row>
    <row r="9" spans="3:32" ht="24">
      <c r="C9" s="61" t="s">
        <v>567</v>
      </c>
      <c r="D9" s="103">
        <f>Resultatopgørelse!M19</f>
        <v>-4302.7380484297346</v>
      </c>
      <c r="E9" s="103">
        <f>Resultatopgørelse!N19</f>
        <v>-4434.5163191935662</v>
      </c>
      <c r="F9" s="103">
        <f>Resultatopgørelse!O19</f>
        <v>-4570.3305113753531</v>
      </c>
      <c r="G9" s="103">
        <f>Resultatopgørelse!P19</f>
        <v>-4910.0852509305432</v>
      </c>
      <c r="H9" s="104">
        <f>Resultatopgørelse!Q19</f>
        <v>-5275.097087923853</v>
      </c>
      <c r="M9" s="135" t="s">
        <v>590</v>
      </c>
      <c r="N9" s="137">
        <v>494</v>
      </c>
      <c r="O9" s="137">
        <v>372</v>
      </c>
      <c r="P9" s="137">
        <v>2395</v>
      </c>
      <c r="Q9" s="137">
        <v>2461</v>
      </c>
      <c r="R9" s="138">
        <v>2461</v>
      </c>
      <c r="S9" s="127">
        <f>Resultatopgørelse!M15*'EBIT &amp; FCF &amp; Balance'!$AF$10</f>
        <v>1607.7488459443223</v>
      </c>
      <c r="T9" s="127">
        <f>Resultatopgørelse!N15*'EBIT &amp; FCF &amp; Balance'!$AF$10</f>
        <v>1656.9887393230067</v>
      </c>
      <c r="U9" s="127">
        <f>Resultatopgørelse!O15*'EBIT &amp; FCF &amp; Balance'!$AF$10</f>
        <v>1707.7366836053259</v>
      </c>
      <c r="V9" s="127">
        <f>Resultatopgørelse!P15*'EBIT &amp; FCF &amp; Balance'!$AF$10</f>
        <v>1834.6884720423004</v>
      </c>
      <c r="W9" s="127">
        <f>Resultatopgørelse!Q15*'EBIT &amp; FCF &amp; Balance'!$AF$10</f>
        <v>1971.0777555814591</v>
      </c>
      <c r="AB9" s="114" t="s">
        <v>620</v>
      </c>
      <c r="AC9" s="21">
        <f>P8/Resultatopgørelse!G15</f>
        <v>3.4348842056761711E-2</v>
      </c>
      <c r="AD9" s="21">
        <f>Q8/Resultatopgørelse!H15</f>
        <v>2.6664969342074556E-2</v>
      </c>
      <c r="AE9" s="21">
        <f>R8/Resultatopgørelse!I15</f>
        <v>4.1210995788705775E-2</v>
      </c>
      <c r="AF9" s="158">
        <f t="shared" si="0"/>
        <v>3.4074935729180682E-2</v>
      </c>
    </row>
    <row r="10" spans="3:32" ht="17">
      <c r="C10" s="63" t="s">
        <v>568</v>
      </c>
      <c r="D10" s="105">
        <f>Resultatopgørelse!M20</f>
        <v>-14017.556200310943</v>
      </c>
      <c r="E10" s="105">
        <f>Resultatopgørelse!N20</f>
        <v>-14446.866396660434</v>
      </c>
      <c r="F10" s="105">
        <f>Resultatopgørelse!O20</f>
        <v>-14889.324908026891</v>
      </c>
      <c r="G10" s="105">
        <f>Resultatopgørelse!P20</f>
        <v>-15996.185493642823</v>
      </c>
      <c r="H10" s="105">
        <f>Resultatopgørelse!Q20</f>
        <v>-17185.32921590584</v>
      </c>
      <c r="M10" s="135" t="s">
        <v>591</v>
      </c>
      <c r="N10" s="137">
        <v>2164</v>
      </c>
      <c r="O10" s="137">
        <v>2536</v>
      </c>
      <c r="P10" s="137">
        <v>3544</v>
      </c>
      <c r="Q10" s="137">
        <v>3494</v>
      </c>
      <c r="R10" s="138">
        <v>3300</v>
      </c>
      <c r="S10" s="127">
        <f>Resultatopgørelse!M15*'EBIT &amp; FCF &amp; Balance'!$AF$12</f>
        <v>2908.7013246533911</v>
      </c>
      <c r="T10" s="127">
        <f>Resultatopgørelse!N15*'EBIT &amp; FCF &amp; Balance'!$AF$12</f>
        <v>2997.7849793906753</v>
      </c>
      <c r="U10" s="127">
        <f>Resultatopgørelse!O15*'EBIT &amp; FCF &amp; Balance'!$AF$12</f>
        <v>3089.5969642848195</v>
      </c>
      <c r="V10" s="127">
        <f>Resultatopgørelse!P15*'EBIT &amp; FCF &amp; Balance'!$AF$12</f>
        <v>3319.2751482407562</v>
      </c>
      <c r="W10" s="127">
        <f>Resultatopgørelse!Q15*'EBIT &amp; FCF &amp; Balance'!$AF$12</f>
        <v>3566.0274259361349</v>
      </c>
      <c r="AB10" s="114" t="s">
        <v>590</v>
      </c>
      <c r="AC10" s="21">
        <f>P9/Resultatopgørelse!G15</f>
        <v>1.3137252750869417E-2</v>
      </c>
      <c r="AD10" s="21">
        <f>O9/Resultatopgørelse!H15</f>
        <v>1.578511870663866E-3</v>
      </c>
      <c r="AE10" s="21">
        <f>R9/Resultatopgørelse!I15</f>
        <v>1.6321252113937063E-2</v>
      </c>
      <c r="AF10" s="158">
        <f t="shared" si="0"/>
        <v>1.0345672245156782E-2</v>
      </c>
    </row>
    <row r="11" spans="3:32">
      <c r="C11" s="100" t="s">
        <v>707</v>
      </c>
      <c r="D11" s="101">
        <f>Resultatopgørelse!M21</f>
        <v>20757.162940750692</v>
      </c>
      <c r="E11" s="101">
        <f>Resultatopgørelse!N21</f>
        <v>21392.883491615292</v>
      </c>
      <c r="F11" s="101">
        <f>Resultatopgørelse!O21</f>
        <v>22048.074006474653</v>
      </c>
      <c r="G11" s="101">
        <f>Resultatopgørelse!P21</f>
        <v>23687.151749014847</v>
      </c>
      <c r="H11" s="102">
        <f>Resultatopgørelse!Q21</f>
        <v>25448.030266698144</v>
      </c>
      <c r="M11" s="135"/>
      <c r="N11" s="137"/>
      <c r="O11" s="137"/>
      <c r="P11" s="137"/>
      <c r="Q11" s="137"/>
      <c r="R11" s="138"/>
      <c r="S11" s="127"/>
      <c r="T11" s="127"/>
      <c r="U11" s="127"/>
      <c r="V11" s="127"/>
      <c r="W11" s="127"/>
      <c r="AB11" s="114"/>
      <c r="AC11" s="21"/>
      <c r="AD11" s="21"/>
      <c r="AE11" s="21"/>
      <c r="AF11" s="158"/>
    </row>
    <row r="12" spans="3:32" ht="24">
      <c r="C12" s="63" t="s">
        <v>569</v>
      </c>
      <c r="D12" s="103">
        <f>Resultatopgørelse!M22</f>
        <v>-4686.5019332260208</v>
      </c>
      <c r="E12" s="103">
        <f>Resultatopgørelse!N22</f>
        <v>-4830.0335899852007</v>
      </c>
      <c r="F12" s="103">
        <f>Resultatopgørelse!O22</f>
        <v>-4977.9611345057783</v>
      </c>
      <c r="G12" s="103">
        <f>Resultatopgørelse!P22</f>
        <v>-5348.0188107636195</v>
      </c>
      <c r="H12" s="104">
        <f>Resultatopgørelse!Q22</f>
        <v>-5745.5862807014673</v>
      </c>
      <c r="M12" s="139" t="s">
        <v>592</v>
      </c>
      <c r="N12" s="140">
        <f>SUM(N6:N10)</f>
        <v>69339</v>
      </c>
      <c r="O12" s="140">
        <f>SUM(O6:O10)</f>
        <v>65698</v>
      </c>
      <c r="P12" s="140">
        <f>SUM(P6:P10)</f>
        <v>102571</v>
      </c>
      <c r="Q12" s="140">
        <f>SUM(Q6:Q10)</f>
        <v>104607</v>
      </c>
      <c r="R12" s="160">
        <v>104736</v>
      </c>
      <c r="S12" s="240">
        <f>SUM(S6:S10)</f>
        <v>87660.347327907119</v>
      </c>
      <c r="T12" s="240">
        <f>SUM(T6:T10)</f>
        <v>90345.086406932431</v>
      </c>
      <c r="U12" s="240">
        <f>SUM(U6:U10)</f>
        <v>93112.04993683158</v>
      </c>
      <c r="V12" s="240">
        <f>SUM(V6:V10)</f>
        <v>100033.92576112907</v>
      </c>
      <c r="W12" s="240">
        <f>SUM(W6:W10)</f>
        <v>107470.36833548192</v>
      </c>
      <c r="AB12" s="114" t="s">
        <v>591</v>
      </c>
      <c r="AC12" s="21">
        <f>P10/Resultatopgørelse!G15</f>
        <v>1.9439842901495287E-2</v>
      </c>
      <c r="AD12" s="21">
        <f>Q10/Resultatopgørelse!H15</f>
        <v>1.4826130312095559E-2</v>
      </c>
      <c r="AE12" s="21">
        <f>R10/Resultatopgørelse!I15</f>
        <v>2.1885466060947708E-2</v>
      </c>
      <c r="AF12" s="158">
        <f t="shared" si="0"/>
        <v>1.8717146424846186E-2</v>
      </c>
    </row>
    <row r="13" spans="3:32" ht="24">
      <c r="C13" s="62" t="s">
        <v>710</v>
      </c>
      <c r="D13" s="80">
        <f>Resultatopgørelse!M23</f>
        <v>16070.661007524672</v>
      </c>
      <c r="E13" s="80">
        <f>Resultatopgørelse!N23</f>
        <v>16562.849901630092</v>
      </c>
      <c r="F13" s="80">
        <f>Resultatopgørelse!O23</f>
        <v>17070.112871968875</v>
      </c>
      <c r="G13" s="80">
        <f>Resultatopgørelse!P23</f>
        <v>18339.132938251227</v>
      </c>
      <c r="H13" s="81">
        <f>Resultatopgørelse!Q23</f>
        <v>19702.443985996677</v>
      </c>
      <c r="M13" s="135" t="s">
        <v>593</v>
      </c>
      <c r="N13" s="137">
        <v>18252</v>
      </c>
      <c r="O13" s="137">
        <v>19038</v>
      </c>
      <c r="P13" s="137">
        <v>36369</v>
      </c>
      <c r="Q13" s="137">
        <v>32387</v>
      </c>
      <c r="R13" s="138">
        <v>22296</v>
      </c>
      <c r="S13" s="2">
        <f>Resultatopgørelse!M15*'EBIT &amp; FCF &amp; Balance'!$AF$14</f>
        <v>25112.53717012058</v>
      </c>
      <c r="T13" s="2">
        <f>Resultatopgørelse!N15*'EBIT &amp; FCF &amp; Balance'!$AF$14</f>
        <v>25881.648997408938</v>
      </c>
      <c r="U13" s="2">
        <f>Resultatopgørelse!O15*'EBIT &amp; FCF &amp; Balance'!$AF$14</f>
        <v>26674.316111001805</v>
      </c>
      <c r="V13" s="2">
        <f>Resultatopgørelse!P15*'EBIT &amp; FCF &amp; Balance'!$AF$14</f>
        <v>28657.263580675939</v>
      </c>
      <c r="W13" s="2">
        <f>Resultatopgørelse!Q15*'EBIT &amp; FCF &amp; Balance'!$AF$14</f>
        <v>30787.62178999656</v>
      </c>
      <c r="AB13" s="115" t="s">
        <v>592</v>
      </c>
      <c r="AC13" s="21">
        <f>P12/Resultatopgørelse!G15</f>
        <v>0.56263096113128475</v>
      </c>
      <c r="AD13" s="21">
        <f>Q12/Resultatopgørelse!H15</f>
        <v>0.44388008401756729</v>
      </c>
      <c r="AE13" s="21">
        <f>R12/Resultatopgørelse!I15</f>
        <v>0.69460490101800576</v>
      </c>
      <c r="AF13" s="158">
        <f>AVERAGE(AC13:AE13)</f>
        <v>0.56703864872228593</v>
      </c>
    </row>
    <row r="14" spans="3:32" ht="24" customHeight="1" thickBot="1">
      <c r="C14" s="61" t="s">
        <v>571</v>
      </c>
      <c r="D14" s="103">
        <f>Resultatopgørelse!M24</f>
        <v>-1041.1274332341814</v>
      </c>
      <c r="E14" s="103">
        <f>Resultatopgørelse!N24</f>
        <v>-1073.0136348230642</v>
      </c>
      <c r="F14" s="103">
        <f>Resultatopgørelse!O24</f>
        <v>-1105.8764026028971</v>
      </c>
      <c r="G14" s="103">
        <f>Resultatopgørelse!P24</f>
        <v>-1188.0863758666273</v>
      </c>
      <c r="H14" s="103">
        <f>Resultatopgørelse!Q24</f>
        <v>-1276.4077732353621</v>
      </c>
      <c r="M14" s="135" t="s">
        <v>594</v>
      </c>
      <c r="N14" s="137">
        <v>3054</v>
      </c>
      <c r="O14" s="137">
        <v>3283</v>
      </c>
      <c r="P14" s="137">
        <v>9797</v>
      </c>
      <c r="Q14" s="137">
        <v>5785</v>
      </c>
      <c r="R14" s="138">
        <v>4985</v>
      </c>
      <c r="S14" s="2">
        <f>Resultatopgørelse!M15*'EBIT &amp; FCF &amp; Balance'!$AF$15</f>
        <v>5767.897119621296</v>
      </c>
      <c r="T14" s="2">
        <f>Resultatopgørelse!N15*'EBIT &amp; FCF &amp; Balance'!$AF$15</f>
        <v>5944.548242653238</v>
      </c>
      <c r="U14" s="2">
        <f>Resultatopgørelse!O15*'EBIT &amp; FCF &amp; Balance'!$AF$15</f>
        <v>6126.6095903513396</v>
      </c>
      <c r="V14" s="2">
        <f>Resultatopgørelse!P15*'EBIT &amp; FCF &amp; Balance'!$AF$15</f>
        <v>6582.0568803329461</v>
      </c>
      <c r="W14" s="2">
        <f>Resultatopgørelse!Q15*'EBIT &amp; FCF &amp; Balance'!$AF$15</f>
        <v>7071.3617600454645</v>
      </c>
      <c r="AB14" s="114" t="s">
        <v>593</v>
      </c>
      <c r="AC14" s="21">
        <f>P13/Resultatopgørelse!G15</f>
        <v>0.19949425690871392</v>
      </c>
      <c r="AD14" s="21">
        <f>Q13/Resultatopgørelse!H15</f>
        <v>0.13742812891180278</v>
      </c>
      <c r="AE14" s="21">
        <f>R13/Resultatopgørelse!I15</f>
        <v>0.14786616705905758</v>
      </c>
      <c r="AF14" s="158">
        <f t="shared" si="0"/>
        <v>0.16159618429319142</v>
      </c>
    </row>
    <row r="15" spans="3:32" ht="29" customHeight="1" thickBot="1">
      <c r="C15" s="96" t="s">
        <v>708</v>
      </c>
      <c r="D15" s="97">
        <f>SUM(D13:D14)</f>
        <v>15029.53357429049</v>
      </c>
      <c r="E15" s="97">
        <f t="shared" ref="E15:F15" si="1">SUM(E13:E14)</f>
        <v>15489.836266807028</v>
      </c>
      <c r="F15" s="97">
        <f t="shared" si="1"/>
        <v>15964.236469365978</v>
      </c>
      <c r="G15" s="97">
        <f>SUM(G13:G14)</f>
        <v>17151.046562384599</v>
      </c>
      <c r="H15" s="97">
        <f>SUM(H13:H14)</f>
        <v>18426.036212761315</v>
      </c>
      <c r="M15" s="135" t="s">
        <v>595</v>
      </c>
      <c r="N15" s="137">
        <v>1324</v>
      </c>
      <c r="O15" s="137">
        <v>1426</v>
      </c>
      <c r="P15" s="137">
        <v>284</v>
      </c>
      <c r="Q15" s="137">
        <v>1889</v>
      </c>
      <c r="R15" s="138">
        <v>4314</v>
      </c>
      <c r="S15" s="2">
        <f>Resultatopgørelse!M15*'EBIT &amp; FCF &amp; Balance'!$AF$17</f>
        <v>1977.9547130492519</v>
      </c>
      <c r="T15" s="2">
        <f>Resultatopgørelse!N15*'EBIT &amp; FCF &amp; Balance'!$AF$17</f>
        <v>2038.5327563326271</v>
      </c>
      <c r="U15" s="2">
        <f>Resultatopgørelse!O15*'EBIT &amp; FCF &amp; Balance'!$AF$17</f>
        <v>2100.9660995901786</v>
      </c>
      <c r="V15" s="2">
        <f>Resultatopgørelse!P15*'EBIT &amp; FCF &amp; Balance'!$AF$17</f>
        <v>2257.1502504308883</v>
      </c>
      <c r="W15" s="2">
        <f>Resultatopgørelse!Q15*'EBIT &amp; FCF &amp; Balance'!$AF$17</f>
        <v>2424.9450069727523</v>
      </c>
      <c r="AB15" s="114" t="s">
        <v>594</v>
      </c>
      <c r="AC15" s="21">
        <f>P14/Resultatopgørelse!G15</f>
        <v>5.3739317411385254E-2</v>
      </c>
      <c r="AD15" s="21">
        <f>Q14/Resultatopgørelse!H15</f>
        <v>2.454755691341523E-2</v>
      </c>
      <c r="AE15" s="21">
        <f>R14/Resultatopgørelse!I15</f>
        <v>3.3060317670855856E-2</v>
      </c>
      <c r="AF15" s="158">
        <f t="shared" si="0"/>
        <v>3.7115730665218782E-2</v>
      </c>
    </row>
    <row r="16" spans="3:32" ht="29" customHeight="1">
      <c r="C16" s="168" t="s">
        <v>584</v>
      </c>
      <c r="D16" s="85">
        <f>-D15*$J$38</f>
        <v>-3727.3243264240414</v>
      </c>
      <c r="E16" s="85">
        <f t="shared" ref="E16:G16" si="2">-E15*$J$38</f>
        <v>-3841.4793941681428</v>
      </c>
      <c r="F16" s="85">
        <f t="shared" si="2"/>
        <v>-3959.1306444027628</v>
      </c>
      <c r="G16" s="85">
        <f t="shared" si="2"/>
        <v>-4253.4595474713806</v>
      </c>
      <c r="H16" s="169">
        <f>-H15*$J$38</f>
        <v>-4569.6569807648066</v>
      </c>
      <c r="M16" s="135"/>
      <c r="N16" s="137"/>
      <c r="O16" s="137"/>
      <c r="P16" s="137"/>
      <c r="Q16" s="137"/>
      <c r="R16" s="138"/>
      <c r="S16" s="2"/>
      <c r="T16" s="2"/>
      <c r="U16" s="2"/>
      <c r="V16" s="2"/>
      <c r="W16" s="2"/>
      <c r="AB16" s="114"/>
      <c r="AC16" s="21"/>
      <c r="AD16" s="21"/>
      <c r="AE16" s="21"/>
      <c r="AF16" s="158"/>
    </row>
    <row r="17" spans="3:32" ht="18" thickBot="1">
      <c r="C17" s="168" t="s">
        <v>569</v>
      </c>
      <c r="D17" s="4">
        <f>-D12</f>
        <v>4686.5019332260208</v>
      </c>
      <c r="E17" s="4">
        <f>-E12</f>
        <v>4830.0335899852007</v>
      </c>
      <c r="F17" s="4">
        <f>-F12</f>
        <v>4977.9611345057783</v>
      </c>
      <c r="G17" s="4">
        <f>-G12</f>
        <v>5348.0188107636195</v>
      </c>
      <c r="H17" s="235">
        <f>-H12</f>
        <v>5745.5862807014673</v>
      </c>
      <c r="M17" s="135" t="s">
        <v>590</v>
      </c>
      <c r="N17" s="137">
        <v>3410</v>
      </c>
      <c r="O17" s="137">
        <v>2635</v>
      </c>
      <c r="P17" s="137">
        <v>4009</v>
      </c>
      <c r="Q17" s="137">
        <v>4179</v>
      </c>
      <c r="R17" s="138">
        <v>4283</v>
      </c>
      <c r="S17" s="2">
        <f>Resultatopgørelse!M15*'EBIT &amp; FCF &amp; Balance'!$AF$18</f>
        <v>3529.0982598134919</v>
      </c>
      <c r="T17" s="2">
        <f>Resultatopgørelse!N15*'EBIT &amp; FCF &amp; Balance'!$AF$18</f>
        <v>3637.1825681769983</v>
      </c>
      <c r="U17" s="2">
        <f>Resultatopgørelse!O15*'EBIT &amp; FCF &amp; Balance'!$AF$18</f>
        <v>3748.5771322643086</v>
      </c>
      <c r="V17" s="2">
        <f>Resultatopgørelse!P15*'EBIT &amp; FCF &amp; Balance'!$AF$18</f>
        <v>4027.2433784154523</v>
      </c>
      <c r="W17" s="2">
        <f>Resultatopgørelse!Q15*'EBIT &amp; FCF &amp; Balance'!$AF$18</f>
        <v>4326.6254519336217</v>
      </c>
      <c r="AB17" s="114" t="s">
        <v>595</v>
      </c>
      <c r="AC17" s="21">
        <f>P15/Resultatopgørelse!G15</f>
        <v>1.5578203679527827E-3</v>
      </c>
      <c r="AD17" s="21">
        <f>Q15/Resultatopgørelse!H15</f>
        <v>8.0156153862474266E-3</v>
      </c>
      <c r="AE17" s="21">
        <f>R15/Resultatopgørelse!I15</f>
        <v>2.8610272905129821E-2</v>
      </c>
      <c r="AF17" s="158">
        <f t="shared" si="0"/>
        <v>1.2727902886443343E-2</v>
      </c>
    </row>
    <row r="18" spans="3:32" ht="18" thickBot="1">
      <c r="C18" s="96" t="s">
        <v>586</v>
      </c>
      <c r="D18" s="109">
        <f>SUM(D15:D17)</f>
        <v>15988.711181092469</v>
      </c>
      <c r="E18" s="109">
        <f t="shared" ref="E18:H18" si="3">SUM(E15:E17)</f>
        <v>16478.390462624084</v>
      </c>
      <c r="F18" s="109">
        <f t="shared" si="3"/>
        <v>16983.066959468993</v>
      </c>
      <c r="G18" s="109">
        <f t="shared" si="3"/>
        <v>18245.605825676837</v>
      </c>
      <c r="H18" s="236">
        <f t="shared" si="3"/>
        <v>19601.965512697978</v>
      </c>
      <c r="M18" s="135" t="s">
        <v>596</v>
      </c>
      <c r="N18" s="137">
        <v>2043</v>
      </c>
      <c r="O18" s="137">
        <v>4060</v>
      </c>
      <c r="P18" s="137">
        <v>8299</v>
      </c>
      <c r="Q18" s="137">
        <v>10160</v>
      </c>
      <c r="R18" s="138">
        <v>6452</v>
      </c>
      <c r="S18" s="2">
        <f>Resultatopgørelse!M15*'EBIT &amp; FCF &amp; Balance'!$AF$19</f>
        <v>6807.886243952833</v>
      </c>
      <c r="T18" s="2">
        <f>Resultatopgørelse!N15*'EBIT &amp; FCF &amp; Balance'!$AF$19</f>
        <v>7016.3887060333182</v>
      </c>
      <c r="U18" s="2">
        <f>Resultatopgørelse!O15*'EBIT &amp; FCF &amp; Balance'!$AF$19</f>
        <v>7231.2768912495612</v>
      </c>
      <c r="V18" s="2">
        <f>Resultatopgørelse!P15*'EBIT &amp; FCF &amp; Balance'!$AF$19</f>
        <v>7768.8442708346811</v>
      </c>
      <c r="W18" s="2">
        <f>Resultatopgørelse!Q15*'EBIT &amp; FCF &amp; Balance'!$AF$19</f>
        <v>8346.3739823758187</v>
      </c>
      <c r="AB18" s="114" t="s">
        <v>590</v>
      </c>
      <c r="AC18" s="21">
        <f>P17/Resultatopgørelse!G15</f>
        <v>2.1990499489868684E-2</v>
      </c>
      <c r="AD18" s="21">
        <f>Q17/Resultatopgørelse!H15</f>
        <v>1.7732798676086819E-2</v>
      </c>
      <c r="AE18" s="21">
        <f>R17/Resultatopgørelse!I15</f>
        <v>2.8404682163345161E-2</v>
      </c>
      <c r="AF18" s="158">
        <f t="shared" si="0"/>
        <v>2.2709326776433555E-2</v>
      </c>
    </row>
    <row r="19" spans="3:32" ht="25" customHeight="1" thickBot="1">
      <c r="C19" s="168" t="s">
        <v>631</v>
      </c>
      <c r="D19" s="3">
        <f>S47</f>
        <v>-293.85217387535704</v>
      </c>
      <c r="E19" s="3">
        <f>T47</f>
        <v>-154.23106957158052</v>
      </c>
      <c r="F19" s="3">
        <f>U47</f>
        <v>-158.95464405307393</v>
      </c>
      <c r="G19" s="3">
        <f>V47</f>
        <v>-397.64322729287051</v>
      </c>
      <c r="H19" s="3">
        <f>W47</f>
        <v>-427.20370892292522</v>
      </c>
      <c r="M19" s="135" t="s">
        <v>597</v>
      </c>
      <c r="N19" s="137">
        <v>135</v>
      </c>
      <c r="O19" s="137">
        <v>110</v>
      </c>
      <c r="P19" s="137">
        <v>66</v>
      </c>
      <c r="Q19" s="137">
        <v>38</v>
      </c>
      <c r="R19" s="138">
        <v>44</v>
      </c>
      <c r="S19" s="2">
        <f>Resultatopgørelse!M15*'EBIT &amp; FCF &amp; Balance'!$AF$20</f>
        <v>42.222005745199731</v>
      </c>
      <c r="T19" s="2">
        <f>Resultatopgørelse!N15*'EBIT &amp; FCF &amp; Balance'!$AF$20</f>
        <v>43.515122556555127</v>
      </c>
      <c r="U19" s="2">
        <f>Resultatopgørelse!O15*'EBIT &amp; FCF &amp; Balance'!$AF$20</f>
        <v>44.847843149358063</v>
      </c>
      <c r="V19" s="2">
        <f>Resultatopgørelse!P15*'EBIT &amp; FCF &amp; Balance'!$AF$20</f>
        <v>48.181796182053908</v>
      </c>
      <c r="W19" s="2">
        <f>Resultatopgørelse!Q15*'EBIT &amp; FCF &amp; Balance'!$AF$20</f>
        <v>51.763592634715437</v>
      </c>
      <c r="AB19" s="114" t="s">
        <v>596</v>
      </c>
      <c r="AC19" s="21">
        <f>P18/Resultatopgørelse!G15</f>
        <v>4.5522363498732898E-2</v>
      </c>
      <c r="AD19" s="21">
        <f>Q18/Resultatopgørelse!H15</f>
        <v>4.3112044639636769E-2</v>
      </c>
      <c r="AE19" s="21">
        <f>R18/Resultatopgørelse!I15</f>
        <v>4.2789402128858969E-2</v>
      </c>
      <c r="AF19" s="158">
        <f t="shared" si="0"/>
        <v>4.3807936755742884E-2</v>
      </c>
    </row>
    <row r="20" spans="3:32" ht="25" customHeight="1" thickBot="1">
      <c r="C20" s="96" t="s">
        <v>632</v>
      </c>
      <c r="D20" s="109">
        <f>SUM(D18:D19)</f>
        <v>15694.859007217112</v>
      </c>
      <c r="E20" s="109">
        <f>SUM(E18:E19)</f>
        <v>16324.159393052503</v>
      </c>
      <c r="F20" s="109">
        <f t="shared" ref="F20:H20" si="4">SUM(F18:F19)</f>
        <v>16824.112315415921</v>
      </c>
      <c r="G20" s="109">
        <f t="shared" si="4"/>
        <v>17847.962598383965</v>
      </c>
      <c r="H20" s="236">
        <f t="shared" si="4"/>
        <v>19174.761803775051</v>
      </c>
      <c r="M20" s="139" t="s">
        <v>598</v>
      </c>
      <c r="N20" s="140">
        <f>SUM(N13:N19)</f>
        <v>28218</v>
      </c>
      <c r="O20" s="140">
        <f t="shared" ref="O20:Q20" si="5">SUM(O13:O19)</f>
        <v>30552</v>
      </c>
      <c r="P20" s="140">
        <f>SUM(P13:P19)</f>
        <v>58824</v>
      </c>
      <c r="Q20" s="140">
        <f t="shared" si="5"/>
        <v>54438</v>
      </c>
      <c r="R20" s="160">
        <v>42374</v>
      </c>
      <c r="S20" s="141">
        <f>SUM(S13:S19)</f>
        <v>43237.595512302651</v>
      </c>
      <c r="T20" s="141">
        <f t="shared" ref="T20:V20" si="6">SUM(T13:T19)</f>
        <v>44561.81639316168</v>
      </c>
      <c r="U20" s="141">
        <f t="shared" si="6"/>
        <v>45926.593667606554</v>
      </c>
      <c r="V20" s="141">
        <f t="shared" si="6"/>
        <v>49340.740156871958</v>
      </c>
      <c r="W20" s="141">
        <f>SUM(W13:W19)</f>
        <v>53008.691583958935</v>
      </c>
      <c r="AB20" s="114" t="s">
        <v>597</v>
      </c>
      <c r="AC20" s="21">
        <f>P19/Resultatopgørelse!G15</f>
        <v>3.6202867705944949E-4</v>
      </c>
      <c r="AD20" s="21">
        <f>Q19/Resultatopgørelse!H15</f>
        <v>1.6124583625060998E-4</v>
      </c>
      <c r="AE20" s="21">
        <f>R19/Resultatopgørelse!I15</f>
        <v>2.9180621414596943E-4</v>
      </c>
      <c r="AF20" s="158">
        <f t="shared" si="0"/>
        <v>2.7169357581867631E-4</v>
      </c>
    </row>
    <row r="21" spans="3:32" ht="24" customHeight="1" thickBot="1">
      <c r="C21" s="168" t="s">
        <v>635</v>
      </c>
      <c r="D21" s="171">
        <f>D6*U56</f>
        <v>-4114.9122156287094</v>
      </c>
      <c r="E21" s="171">
        <f>E6*$U$56</f>
        <v>-4240.9380182727746</v>
      </c>
      <c r="F21" s="171">
        <f t="shared" ref="F21:G21" si="7">F6*$U$56</f>
        <v>-4370.8235637496909</v>
      </c>
      <c r="G21" s="171">
        <f t="shared" si="7"/>
        <v>-4695.7471153062679</v>
      </c>
      <c r="H21" s="171">
        <f>H6*$U$56</f>
        <v>-5044.8252255670095</v>
      </c>
      <c r="M21" s="142" t="s">
        <v>599</v>
      </c>
      <c r="N21" s="143">
        <f>N20+N12</f>
        <v>97557</v>
      </c>
      <c r="O21" s="143">
        <f>O20+O12</f>
        <v>96250</v>
      </c>
      <c r="P21" s="143">
        <f>P20+P12</f>
        <v>161395</v>
      </c>
      <c r="Q21" s="143">
        <f>Q20+Q12</f>
        <v>159045</v>
      </c>
      <c r="R21" s="161">
        <v>147110</v>
      </c>
      <c r="S21" s="144">
        <f>S20+S12</f>
        <v>130897.94284020977</v>
      </c>
      <c r="T21" s="144">
        <f t="shared" ref="T21:W21" si="8">T20+T12</f>
        <v>134906.9028000941</v>
      </c>
      <c r="U21" s="144">
        <f t="shared" si="8"/>
        <v>139038.64360443814</v>
      </c>
      <c r="V21" s="144">
        <f t="shared" si="8"/>
        <v>149374.66591800103</v>
      </c>
      <c r="W21" s="144">
        <f t="shared" si="8"/>
        <v>160479.05991944086</v>
      </c>
      <c r="AB21" s="115" t="s">
        <v>598</v>
      </c>
      <c r="AC21" s="21">
        <f>P20/Resultatopgørelse!G15</f>
        <v>0.32266628635371297</v>
      </c>
      <c r="AD21" s="21">
        <f>Q20/Resultatopgørelse!H15</f>
        <v>0.23099739036343964</v>
      </c>
      <c r="AE21" s="21">
        <f>R20/Resultatopgørelse!I15</f>
        <v>0.28102264814139338</v>
      </c>
      <c r="AF21" s="158">
        <f>AVERAGE(AC21:AE21)</f>
        <v>0.27822877495284865</v>
      </c>
    </row>
    <row r="22" spans="3:32" ht="17" thickBot="1">
      <c r="C22" s="237" t="s">
        <v>638</v>
      </c>
      <c r="D22" s="238">
        <f>SUM(D20:D21)</f>
        <v>11579.946791588402</v>
      </c>
      <c r="E22" s="238">
        <f>SUM(E20:E21)</f>
        <v>12083.221374779729</v>
      </c>
      <c r="F22" s="238">
        <f t="shared" ref="F22:G22" si="9">SUM(F20:F21)</f>
        <v>12453.28875166623</v>
      </c>
      <c r="G22" s="238">
        <f t="shared" si="9"/>
        <v>13152.215483077696</v>
      </c>
      <c r="H22" s="239">
        <f>SUM(H20:H21)</f>
        <v>14129.936578208042</v>
      </c>
      <c r="M22" s="129" t="s">
        <v>625</v>
      </c>
      <c r="N22" s="129"/>
      <c r="O22" s="129"/>
      <c r="P22" s="130"/>
      <c r="Q22" s="130"/>
      <c r="R22" s="161"/>
      <c r="AB22" s="116" t="s">
        <v>599</v>
      </c>
      <c r="AC22" s="123">
        <f>P21/Resultatopgørelse!G15</f>
        <v>0.88529724748499772</v>
      </c>
      <c r="AD22" s="123">
        <f>Q21/Resultatopgørelse!H15</f>
        <v>0.67487747438100698</v>
      </c>
      <c r="AE22" s="123">
        <f>R21/Resultatopgørelse!I15</f>
        <v>0.9756275491593992</v>
      </c>
      <c r="AF22" s="158">
        <f>AVERAGE(AC22:AE22)</f>
        <v>0.84526742367513463</v>
      </c>
    </row>
    <row r="23" spans="3:32" ht="36" thickTop="1" thickBot="1">
      <c r="M23" s="145" t="s">
        <v>600</v>
      </c>
      <c r="N23" s="146">
        <v>2019</v>
      </c>
      <c r="O23" s="146" t="s">
        <v>617</v>
      </c>
      <c r="P23" s="146" t="s">
        <v>618</v>
      </c>
      <c r="Q23" s="146">
        <v>2022</v>
      </c>
      <c r="R23" s="147">
        <v>2023</v>
      </c>
      <c r="S23" s="146" t="s">
        <v>629</v>
      </c>
      <c r="T23" s="146">
        <v>2025</v>
      </c>
      <c r="U23" s="147">
        <v>2026</v>
      </c>
      <c r="V23" s="146" t="s">
        <v>630</v>
      </c>
      <c r="W23" s="146">
        <v>2028</v>
      </c>
      <c r="AF23" s="158"/>
    </row>
    <row r="24" spans="3:32" ht="46" customHeight="1">
      <c r="M24" s="181" t="s">
        <v>601</v>
      </c>
      <c r="N24" s="182">
        <v>235</v>
      </c>
      <c r="O24" s="182">
        <v>230</v>
      </c>
      <c r="P24" s="182">
        <v>240</v>
      </c>
      <c r="Q24" s="182">
        <v>219</v>
      </c>
      <c r="R24" s="183">
        <v>219</v>
      </c>
      <c r="S24" s="184">
        <f>Resultatopgørelse!$M$15*AF25</f>
        <v>811.31815854857427</v>
      </c>
      <c r="T24" s="184">
        <f>Resultatopgørelse!N15*$AF$25</f>
        <v>836.16608160813519</v>
      </c>
      <c r="U24" s="184">
        <f>Resultatopgørelse!O15*$AF$25</f>
        <v>861.77501226239656</v>
      </c>
      <c r="V24" s="184">
        <f>Resultatopgørelse!P15*$AF$25</f>
        <v>925.83868208181877</v>
      </c>
      <c r="W24" s="185">
        <f>Resultatopgørelse!Q15*$AF$25</f>
        <v>994.66479422357918</v>
      </c>
      <c r="AB24" s="58" t="s">
        <v>628</v>
      </c>
      <c r="AF24" s="158"/>
    </row>
    <row r="25" spans="3:32">
      <c r="M25" s="186" t="s">
        <v>621</v>
      </c>
      <c r="N25" s="148">
        <v>49195</v>
      </c>
      <c r="O25" s="148">
        <v>47155</v>
      </c>
      <c r="P25" s="148">
        <v>73863</v>
      </c>
      <c r="Q25" s="148">
        <v>71300</v>
      </c>
      <c r="R25" s="149">
        <v>68484</v>
      </c>
      <c r="S25" s="85">
        <f>Resultatopgørelse!M15*$AF$26</f>
        <v>36735.203153238115</v>
      </c>
      <c r="T25" s="85">
        <f>Resultatopgørelse!N15*$AF$26</f>
        <v>37860.277813420704</v>
      </c>
      <c r="U25" s="85">
        <f>Resultatopgørelse!O15*$AF$26</f>
        <v>39019.809693989548</v>
      </c>
      <c r="V25" s="85">
        <f>Resultatopgørelse!P15*$AF$26</f>
        <v>41920.511349390181</v>
      </c>
      <c r="W25" s="169">
        <f>Resultatopgørelse!Q15*$AF$26</f>
        <v>45036.848861542319</v>
      </c>
      <c r="AB25" s="111" t="s">
        <v>601</v>
      </c>
      <c r="AC25" s="23">
        <f>'EBIT &amp; FCF &amp; Balance'!P24/Resultatopgørelse!$G$15</f>
        <v>1.3164679165798164E-3</v>
      </c>
      <c r="AD25" s="23">
        <f>'EBIT &amp; FCF &amp; Balance'!Q24/Resultatopgørelse!$H$15</f>
        <v>9.2928521418114696E-4</v>
      </c>
      <c r="AE25" s="23">
        <f>'EBIT &amp; FCF &amp; Balance'!R23/Resultatopgørelse!$I$15</f>
        <v>1.3416453891302185E-2</v>
      </c>
      <c r="AF25" s="158">
        <f t="shared" ref="AF25:AF44" si="10">AVERAGE(AC25:AE25)</f>
        <v>5.2207356740210488E-3</v>
      </c>
    </row>
    <row r="26" spans="3:32" ht="34">
      <c r="M26" s="187" t="s">
        <v>602</v>
      </c>
      <c r="N26" s="140">
        <f>SUM(N24:N25)</f>
        <v>49430</v>
      </c>
      <c r="O26" s="140">
        <f t="shared" ref="O26:P26" si="11">SUM(O24:O25)</f>
        <v>47385</v>
      </c>
      <c r="P26" s="140">
        <f t="shared" si="11"/>
        <v>74103</v>
      </c>
      <c r="Q26" s="140">
        <f>SUM(Q24:Q25)</f>
        <v>71519</v>
      </c>
      <c r="R26" s="160">
        <v>68703</v>
      </c>
      <c r="S26" s="141">
        <f t="shared" ref="S26" si="12">SUM(S24:S25)</f>
        <v>37546.521311786688</v>
      </c>
      <c r="T26" s="141">
        <f t="shared" ref="T26" si="13">SUM(T24:T25)</f>
        <v>38696.443895028839</v>
      </c>
      <c r="U26" s="141">
        <f t="shared" ref="U26" si="14">SUM(U24:U25)</f>
        <v>39881.584706251946</v>
      </c>
      <c r="V26" s="141">
        <f t="shared" ref="V26" si="15">SUM(V24:V25)</f>
        <v>42846.350031472</v>
      </c>
      <c r="W26" s="188">
        <f t="shared" ref="W26" si="16">SUM(W24:W25)</f>
        <v>46031.513655765899</v>
      </c>
      <c r="AB26" s="124" t="s">
        <v>621</v>
      </c>
      <c r="AC26" s="23">
        <f>'EBIT &amp; FCF &amp; Balance'!P25/Resultatopgørelse!$G$15</f>
        <v>0.40515945717639573</v>
      </c>
      <c r="AD26" s="23">
        <f>'EBIT &amp; FCF &amp; Balance'!Q25/Resultatopgørelse!$H$15</f>
        <v>0.30254810854390768</v>
      </c>
      <c r="AE26" s="23">
        <f>'EBIT &amp; FCF &amp; Balance'!R24/Resultatopgørelse!$I$15</f>
        <v>1.4523991113174388E-3</v>
      </c>
      <c r="AF26" s="158">
        <f t="shared" si="10"/>
        <v>0.23638665494387359</v>
      </c>
    </row>
    <row r="27" spans="3:32" ht="37" thickBot="1">
      <c r="M27" s="189" t="s">
        <v>603</v>
      </c>
      <c r="N27" s="137">
        <v>-111</v>
      </c>
      <c r="O27" s="137">
        <v>-88</v>
      </c>
      <c r="P27" s="150">
        <v>175</v>
      </c>
      <c r="Q27" s="150">
        <v>222</v>
      </c>
      <c r="R27" s="151">
        <v>263</v>
      </c>
      <c r="S27" s="190">
        <f>Resultatopgørelse!M15*$AF$28</f>
        <v>23700.90234356212</v>
      </c>
      <c r="T27" s="190">
        <f>Resultatopgørelse!N15*$AF$28</f>
        <v>24426.780584631637</v>
      </c>
      <c r="U27" s="190">
        <f>Resultatopgørelse!O15*$AF$28</f>
        <v>25174.890013915861</v>
      </c>
      <c r="V27" s="190">
        <f>Resultatopgørelse!P15*$AF$28</f>
        <v>27046.371338673405</v>
      </c>
      <c r="W27" s="191">
        <f>Resultatopgørelse!Q15*$AF$28</f>
        <v>29056.977098412794</v>
      </c>
      <c r="AB27" s="110" t="s">
        <v>602</v>
      </c>
      <c r="AC27" s="23">
        <f>'EBIT &amp; FCF &amp; Balance'!P26/Resultatopgørelse!$G$15</f>
        <v>0.40647592509297553</v>
      </c>
      <c r="AD27" s="23">
        <f>'EBIT &amp; FCF &amp; Balance'!Q26/Resultatopgørelse!$H$15</f>
        <v>0.3034773937580888</v>
      </c>
      <c r="AE27" s="23">
        <f>'EBIT &amp; FCF &amp; Balance'!R25/Resultatopgørelse!$I$15</f>
        <v>0.45418310839937659</v>
      </c>
      <c r="AF27" s="158">
        <f>AVERAGE(AC27:AE27)</f>
        <v>0.38804547575014697</v>
      </c>
    </row>
    <row r="28" spans="3:32" ht="25" thickBot="1">
      <c r="M28" s="178" t="s">
        <v>604</v>
      </c>
      <c r="N28" s="179">
        <f>SUM(N26:N27)</f>
        <v>49319</v>
      </c>
      <c r="O28" s="179">
        <f t="shared" ref="O28" si="17">SUM(O26:O27)</f>
        <v>47297</v>
      </c>
      <c r="P28" s="179">
        <f>SUM(P26:P27)</f>
        <v>74278</v>
      </c>
      <c r="Q28" s="179">
        <f>SUM(Q26:Q27)</f>
        <v>71741</v>
      </c>
      <c r="R28" s="179">
        <f>SUM(R26:R27)</f>
        <v>68966</v>
      </c>
      <c r="S28" s="179">
        <f>SUM(S26:S27)</f>
        <v>61247.423655348808</v>
      </c>
      <c r="T28" s="179">
        <f t="shared" ref="T28:W28" si="18">SUM(T26:T27)</f>
        <v>63123.224479660479</v>
      </c>
      <c r="U28" s="179">
        <f t="shared" si="18"/>
        <v>65056.474720167811</v>
      </c>
      <c r="V28" s="179">
        <f t="shared" si="18"/>
        <v>69892.721370145402</v>
      </c>
      <c r="W28" s="180">
        <f t="shared" si="18"/>
        <v>75088.490754178696</v>
      </c>
      <c r="AB28" s="125" t="s">
        <v>603</v>
      </c>
      <c r="AC28" s="23">
        <f>'EBIT &amp; FCF &amp; Balance'!P27/Resultatopgørelse!$G$15</f>
        <v>9.5992452250611609E-4</v>
      </c>
      <c r="AD28" s="23">
        <f>'EBIT &amp; FCF &amp; Balance'!Q27/Resultatopgørelse!$H$15</f>
        <v>9.4201514862198455E-4</v>
      </c>
      <c r="AE28" s="23">
        <f>'EBIT &amp; FCF &amp; Balance'!R26/Resultatopgørelse!$I$15</f>
        <v>0.45563550751069404</v>
      </c>
      <c r="AF28" s="159">
        <f t="shared" si="10"/>
        <v>0.15251248239394072</v>
      </c>
    </row>
    <row r="29" spans="3:32" ht="17">
      <c r="M29" s="181" t="s">
        <v>607</v>
      </c>
      <c r="N29" s="182">
        <v>9227</v>
      </c>
      <c r="O29" s="182">
        <v>9428</v>
      </c>
      <c r="P29" s="182">
        <v>11848</v>
      </c>
      <c r="Q29" s="182">
        <v>13190</v>
      </c>
      <c r="R29" s="183">
        <v>14139</v>
      </c>
      <c r="S29" s="192">
        <f>Resultatopgørelse!$M$15*AF30</f>
        <v>11123.137096779725</v>
      </c>
      <c r="T29" s="192">
        <f>Resultatopgørelse!N15*$AF$30</f>
        <v>11463.801054377049</v>
      </c>
      <c r="U29" s="192">
        <f>Resultatopgørelse!O15*$AF$30</f>
        <v>11814.898393402304</v>
      </c>
      <c r="V29" s="192">
        <f>Resultatopgørelse!P15*$AF$30</f>
        <v>12693.20855423867</v>
      </c>
      <c r="W29" s="193">
        <f>Resultatopgørelse!Q15*$AF$30</f>
        <v>13636.811594703962</v>
      </c>
      <c r="AB29" s="110" t="s">
        <v>604</v>
      </c>
      <c r="AC29" s="23">
        <f>'EBIT &amp; FCF &amp; Balance'!P28/Resultatopgørelse!$G$15</f>
        <v>0.40743584961548168</v>
      </c>
      <c r="AD29" s="23">
        <f>'EBIT &amp; FCF &amp; Balance'!Q28/Resultatopgørelse!$H$15</f>
        <v>0.30441940890671082</v>
      </c>
      <c r="AE29" s="23">
        <f>'EBIT &amp; FCF &amp; Balance'!R28/Resultatopgørelse!$I$15</f>
        <v>0.45737971283615747</v>
      </c>
      <c r="AF29" s="158">
        <f t="shared" si="10"/>
        <v>0.38974499045278327</v>
      </c>
    </row>
    <row r="30" spans="3:32" ht="17">
      <c r="M30" s="189" t="s">
        <v>622</v>
      </c>
      <c r="N30" s="137">
        <v>6464</v>
      </c>
      <c r="O30" s="137">
        <v>7696</v>
      </c>
      <c r="P30" s="137">
        <v>16993</v>
      </c>
      <c r="Q30" s="137">
        <v>21398</v>
      </c>
      <c r="R30" s="138">
        <v>20004</v>
      </c>
      <c r="S30" s="190">
        <f>Resultatopgørelse!M15*$AF$31</f>
        <v>14389.236508942538</v>
      </c>
      <c r="T30" s="190">
        <f>Resultatopgørelse!N15*$AF$31</f>
        <v>14829.930012339113</v>
      </c>
      <c r="U30" s="190">
        <f>Resultatopgørelse!O15*$AF$31</f>
        <v>15284.12046283328</v>
      </c>
      <c r="V30" s="190">
        <f>Resultatopgørelse!P15*$AF$31</f>
        <v>16420.329836368805</v>
      </c>
      <c r="W30" s="191">
        <f>Resultatopgørelse!Q15*$AF$31</f>
        <v>17641.004112130744</v>
      </c>
      <c r="AB30" s="125" t="s">
        <v>607</v>
      </c>
      <c r="AC30" s="23">
        <f>'EBIT &amp; FCF &amp; Balance'!P29/Resultatopgørelse!$G$15</f>
        <v>6.4989632815156934E-2</v>
      </c>
      <c r="AD30" s="23">
        <f>'EBIT &amp; FCF &amp; Balance'!Q29/Resultatopgørelse!$H$15</f>
        <v>5.5969278424882779E-2</v>
      </c>
      <c r="AE30" s="23">
        <f>'EBIT &amp; FCF &amp; Balance'!R29/Resultatopgørelse!$I$15</f>
        <v>9.3769274132042307E-2</v>
      </c>
      <c r="AF30" s="158">
        <f t="shared" si="10"/>
        <v>7.1576061790694007E-2</v>
      </c>
    </row>
    <row r="31" spans="3:32" ht="34">
      <c r="M31" s="189" t="s">
        <v>605</v>
      </c>
      <c r="N31" s="137">
        <v>1494</v>
      </c>
      <c r="O31" s="137">
        <v>1219</v>
      </c>
      <c r="P31" s="137">
        <v>908</v>
      </c>
      <c r="Q31" s="137">
        <v>1183</v>
      </c>
      <c r="R31" s="138">
        <v>1281</v>
      </c>
      <c r="S31" s="190">
        <f>Resultatopgørelse!M15*$AF$32</f>
        <v>7390.2529072173984</v>
      </c>
      <c r="T31" s="190">
        <f>Resultatopgørelse!N15*$AF$32</f>
        <v>7616.5912847014515</v>
      </c>
      <c r="U31" s="190">
        <f>Resultatopgørelse!O15*$AF$32</f>
        <v>7849.8616389074496</v>
      </c>
      <c r="V31" s="190">
        <f>Resultatopgørelse!P15*$AF$32</f>
        <v>8433.414117231101</v>
      </c>
      <c r="W31" s="191">
        <f>Resultatopgørelse!Q15*$AF$32</f>
        <v>9060.3474232205317</v>
      </c>
      <c r="AB31" s="125" t="s">
        <v>622</v>
      </c>
      <c r="AC31" s="23">
        <f>'EBIT &amp; FCF &amp; Balance'!P30/Resultatopgørelse!$G$15</f>
        <v>9.3211413776836741E-2</v>
      </c>
      <c r="AD31" s="23">
        <f>'EBIT &amp; FCF &amp; Balance'!Q30/Resultatopgørelse!$H$15</f>
        <v>9.0798379055014533E-2</v>
      </c>
      <c r="AE31" s="23">
        <f>'EBIT &amp; FCF &amp; Balance'!R29/Resultatopgørelse!$I$15</f>
        <v>9.3769274132042307E-2</v>
      </c>
      <c r="AF31" s="158">
        <f t="shared" si="10"/>
        <v>9.2593022321297846E-2</v>
      </c>
    </row>
    <row r="32" spans="3:32" ht="36">
      <c r="M32" s="189" t="s">
        <v>606</v>
      </c>
      <c r="N32" s="137">
        <v>1282</v>
      </c>
      <c r="O32" s="137">
        <v>1253</v>
      </c>
      <c r="P32" s="137">
        <v>3508</v>
      </c>
      <c r="Q32" s="137">
        <v>4260</v>
      </c>
      <c r="R32" s="138">
        <v>3772</v>
      </c>
      <c r="S32" s="190">
        <f>Resultatopgørelse!M15*$AF$33</f>
        <v>2373.2332559916968</v>
      </c>
      <c r="T32" s="190">
        <f>Resultatopgørelse!N15*$AF$33</f>
        <v>2445.9173401896496</v>
      </c>
      <c r="U32" s="190">
        <f>Resultatopgørelse!O15*$AF$33</f>
        <v>2520.8274913291298</v>
      </c>
      <c r="V32" s="190">
        <f>Resultatopgørelse!P15*$AF$33</f>
        <v>2708.2238044947521</v>
      </c>
      <c r="W32" s="191">
        <f>Resultatopgørelse!Q15*$AF$33</f>
        <v>2909.5510107138894</v>
      </c>
      <c r="AB32" s="125" t="s">
        <v>605</v>
      </c>
      <c r="AC32" s="23">
        <f>'EBIT &amp; FCF &amp; Balance'!P31/Resultatopgørelse!$G$15</f>
        <v>4.9806369510603053E-3</v>
      </c>
      <c r="AD32" s="23">
        <f>'EBIT &amp; FCF &amp; Balance'!Q31/Resultatopgørelse!$H$15</f>
        <v>5.0198374811703051E-3</v>
      </c>
      <c r="AE32" s="23">
        <f>'EBIT &amp; FCF &amp; Balance'!R30/Resultatopgørelse!$I$15</f>
        <v>0.13266571608581756</v>
      </c>
      <c r="AF32" s="158">
        <f t="shared" si="10"/>
        <v>4.7555396839349395E-2</v>
      </c>
    </row>
    <row r="33" spans="3:32" ht="17">
      <c r="M33" s="189" t="s">
        <v>623</v>
      </c>
      <c r="N33" s="137">
        <v>455</v>
      </c>
      <c r="O33" s="137">
        <v>243</v>
      </c>
      <c r="P33" s="137">
        <v>447</v>
      </c>
      <c r="Q33" s="137">
        <v>504</v>
      </c>
      <c r="R33" s="138">
        <v>609</v>
      </c>
      <c r="S33" s="190">
        <f>Resultatopgørelse!M15*$AF$34</f>
        <v>1533.6363442715042</v>
      </c>
      <c r="T33" s="190">
        <f>Resultatopgørelse!N15*$AF$34</f>
        <v>1580.6064231268549</v>
      </c>
      <c r="U33" s="190">
        <f>Resultatopgørelse!O15*$AF$34</f>
        <v>1629.015036166609</v>
      </c>
      <c r="V33" s="190">
        <f>Resultatopgørelse!P15*$AF$34</f>
        <v>1750.114719869292</v>
      </c>
      <c r="W33" s="191">
        <f>Resultatopgørelse!Q15*$AF$34</f>
        <v>1880.2168578571111</v>
      </c>
      <c r="AB33" s="125" t="s">
        <v>606</v>
      </c>
      <c r="AC33" s="23">
        <f>'EBIT &amp; FCF &amp; Balance'!P32/Resultatopgørelse!$G$15</f>
        <v>1.9242372714008315E-2</v>
      </c>
      <c r="AD33" s="23">
        <f>'EBIT &amp; FCF &amp; Balance'!Q32/Resultatopgørelse!$H$15</f>
        <v>1.8076506905989435E-2</v>
      </c>
      <c r="AE33" s="23">
        <f>'EBIT &amp; FCF &amp; Balance'!R31/Resultatopgørelse!$I$15</f>
        <v>8.4955400072951551E-3</v>
      </c>
      <c r="AF33" s="158">
        <f t="shared" si="10"/>
        <v>1.5271473209097634E-2</v>
      </c>
    </row>
    <row r="34" spans="3:32" ht="24">
      <c r="M34" s="187" t="s">
        <v>608</v>
      </c>
      <c r="N34" s="140">
        <f>SUM(N29:N33)</f>
        <v>18922</v>
      </c>
      <c r="O34" s="140">
        <f t="shared" ref="O34:P34" si="19">SUM(O29:O33)</f>
        <v>19839</v>
      </c>
      <c r="P34" s="140">
        <f t="shared" si="19"/>
        <v>33704</v>
      </c>
      <c r="Q34" s="140">
        <f>SUM(Q29:Q33)</f>
        <v>40535</v>
      </c>
      <c r="R34" s="141">
        <f>SUM(R29:R33)</f>
        <v>39805</v>
      </c>
      <c r="S34" s="156">
        <f>SUM(S29:S33)</f>
        <v>36809.496113202862</v>
      </c>
      <c r="T34" s="156">
        <f t="shared" ref="T34:W34" si="20">SUM(T29:T33)</f>
        <v>37936.846114734115</v>
      </c>
      <c r="U34" s="156">
        <f t="shared" si="20"/>
        <v>39098.723022638776</v>
      </c>
      <c r="V34" s="156">
        <f t="shared" si="20"/>
        <v>42005.291032202622</v>
      </c>
      <c r="W34" s="194">
        <f t="shared" si="20"/>
        <v>45127.930998626245</v>
      </c>
      <c r="AB34" s="125" t="s">
        <v>623</v>
      </c>
      <c r="AC34" s="23">
        <f>'EBIT &amp; FCF &amp; Balance'!P33/Resultatopgørelse!$G$15</f>
        <v>2.4519214946299079E-3</v>
      </c>
      <c r="AD34" s="23">
        <f>'EBIT &amp; FCF &amp; Balance'!Q33/Resultatopgørelse!$H$15</f>
        <v>2.1386289860607218E-3</v>
      </c>
      <c r="AE34" s="23">
        <f>'EBIT &amp; FCF &amp; Balance'!R32/Resultatopgørelse!$I$15</f>
        <v>2.5015750903604469E-2</v>
      </c>
      <c r="AF34" s="158">
        <f t="shared" si="10"/>
        <v>9.8687671280983658E-3</v>
      </c>
    </row>
    <row r="35" spans="3:32" ht="36">
      <c r="C35" s="1" t="s">
        <v>575</v>
      </c>
      <c r="D35" s="1">
        <v>2018</v>
      </c>
      <c r="E35" s="1">
        <v>2019</v>
      </c>
      <c r="F35" s="1">
        <v>2020</v>
      </c>
      <c r="G35" s="1">
        <v>2021</v>
      </c>
      <c r="H35" s="1">
        <v>2022</v>
      </c>
      <c r="M35" s="189" t="s">
        <v>607</v>
      </c>
      <c r="N35" s="137">
        <v>3385</v>
      </c>
      <c r="O35" s="137">
        <v>2850</v>
      </c>
      <c r="P35" s="137">
        <v>3440</v>
      </c>
      <c r="Q35" s="137">
        <v>3577</v>
      </c>
      <c r="R35" s="138">
        <v>3808</v>
      </c>
      <c r="S35" s="190">
        <f>Resultatopgørelse!M15*$AF$36</f>
        <v>3071.9139197751756</v>
      </c>
      <c r="T35" s="190">
        <f>Resultatopgørelse!N15*$AF$36</f>
        <v>3165.996222654629</v>
      </c>
      <c r="U35" s="190">
        <f>Resultatopgørelse!O15*$AF$36</f>
        <v>3262.9599473272265</v>
      </c>
      <c r="V35" s="190">
        <f>Resultatopgørelse!P15*$AF$36</f>
        <v>3505.525797723365</v>
      </c>
      <c r="W35" s="191">
        <f>Resultatopgørelse!Q15*$AF$36</f>
        <v>3766.1238007441771</v>
      </c>
      <c r="AB35" s="110" t="s">
        <v>608</v>
      </c>
      <c r="AC35" s="23">
        <f>'EBIT &amp; FCF &amp; Balance'!P34/Resultatopgørelse!$G$15</f>
        <v>0.18487597775169221</v>
      </c>
      <c r="AD35" s="23">
        <f>'EBIT &amp; FCF &amp; Balance'!Q34/Resultatopgørelse!$H$15</f>
        <v>0.17200263085311776</v>
      </c>
      <c r="AE35" s="23">
        <f>'EBIT &amp; FCF &amp; Balance'!R33/Resultatopgørelse!$I$15</f>
        <v>4.0388632821567131E-3</v>
      </c>
      <c r="AF35" s="158">
        <f t="shared" si="10"/>
        <v>0.12030582396232221</v>
      </c>
    </row>
    <row r="36" spans="3:32" ht="17">
      <c r="C36" s="1" t="s">
        <v>585</v>
      </c>
      <c r="D36" s="106">
        <v>0.23300000000000001</v>
      </c>
      <c r="E36" s="106">
        <v>0.25800000000000001</v>
      </c>
      <c r="F36" s="106">
        <v>0.24299999999999999</v>
      </c>
      <c r="G36" s="106">
        <v>0.245</v>
      </c>
      <c r="H36" s="106">
        <v>0.23899999999999999</v>
      </c>
      <c r="M36" s="189" t="s">
        <v>622</v>
      </c>
      <c r="N36" s="137">
        <v>1520</v>
      </c>
      <c r="O36" s="137">
        <v>1185</v>
      </c>
      <c r="P36" s="137">
        <v>4472</v>
      </c>
      <c r="Q36" s="137">
        <v>814</v>
      </c>
      <c r="R36" s="138">
        <v>2139</v>
      </c>
      <c r="S36" s="190">
        <f>Resultatopgørelse!M15*$AF$37</f>
        <v>2184.4487507694053</v>
      </c>
      <c r="T36" s="190">
        <f>Resultatopgørelse!N15*$AF$37</f>
        <v>2251.3510059633181</v>
      </c>
      <c r="U36" s="190">
        <f>Resultatopgørelse!O15*$AF$37</f>
        <v>2320.3022502893655</v>
      </c>
      <c r="V36" s="190">
        <f>Resultatopgørelse!P15*$AF$37</f>
        <v>2492.7916763328994</v>
      </c>
      <c r="W36" s="191">
        <f>Resultatopgørelse!Q15*$AF$37</f>
        <v>2678.1038292832914</v>
      </c>
      <c r="AB36" s="125" t="s">
        <v>607</v>
      </c>
      <c r="AC36" s="23">
        <f>'EBIT &amp; FCF &amp; Balance'!P35/Resultatopgørelse!$G$15</f>
        <v>1.8869373470977367E-2</v>
      </c>
      <c r="AD36" s="23">
        <f>'EBIT &amp; FCF &amp; Balance'!Q35/Resultatopgørelse!$H$15</f>
        <v>1.5178325164958734E-2</v>
      </c>
      <c r="AE36" s="23">
        <f>'EBIT &amp; FCF &amp; Balance'!R35/Resultatopgørelse!$I$15</f>
        <v>2.5254501442451172E-2</v>
      </c>
      <c r="AF36" s="158">
        <f>AVERAGE(AC36:AE36)</f>
        <v>1.9767400026129089E-2</v>
      </c>
    </row>
    <row r="37" spans="3:32" ht="17">
      <c r="C37" t="s">
        <v>732</v>
      </c>
      <c r="I37" s="1">
        <v>2023</v>
      </c>
      <c r="J37" s="1" t="s">
        <v>8</v>
      </c>
      <c r="M37" s="189" t="s">
        <v>609</v>
      </c>
      <c r="N37" s="137">
        <v>9783</v>
      </c>
      <c r="O37" s="137">
        <v>9926</v>
      </c>
      <c r="P37" s="137">
        <v>17040</v>
      </c>
      <c r="Q37" s="137">
        <v>14992</v>
      </c>
      <c r="R37" s="138">
        <v>13111</v>
      </c>
      <c r="S37" s="190">
        <f>Resultatopgørelse!M15*$AF$38</f>
        <v>12641.340929910741</v>
      </c>
      <c r="T37" s="190">
        <f>Resultatopgørelse!N15*$AF$38</f>
        <v>13028.502320897029</v>
      </c>
      <c r="U37" s="190">
        <f>Resultatopgørelse!O15*$AF$38</f>
        <v>13427.521151968314</v>
      </c>
      <c r="V37" s="190">
        <f>Resultatopgørelse!P15*$AF$38</f>
        <v>14425.712407612526</v>
      </c>
      <c r="W37" s="191">
        <f>Resultatopgørelse!Q15*$AF$38</f>
        <v>15498.1084082404</v>
      </c>
      <c r="AB37" s="125" t="s">
        <v>622</v>
      </c>
      <c r="AC37" s="23">
        <f>'EBIT &amp; FCF &amp; Balance'!P36/Resultatopgørelse!$G$15</f>
        <v>2.453018551227058E-2</v>
      </c>
      <c r="AD37" s="23">
        <f>'EBIT &amp; FCF &amp; Balance'!Q36/Resultatopgørelse!$H$15</f>
        <v>3.4540555449472767E-3</v>
      </c>
      <c r="AE37" s="23">
        <f>'EBIT &amp; FCF &amp; Balance'!R36/Resultatopgørelse!$I$15</f>
        <v>1.4185761183141559E-2</v>
      </c>
      <c r="AF37" s="158">
        <f t="shared" si="10"/>
        <v>1.4056667413453136E-2</v>
      </c>
    </row>
    <row r="38" spans="3:32" ht="17">
      <c r="I38" s="106">
        <v>0.248</v>
      </c>
      <c r="J38" s="350">
        <f>AVERAGE(D38:I38)</f>
        <v>0.248</v>
      </c>
      <c r="M38" s="189" t="s">
        <v>610</v>
      </c>
      <c r="N38" s="137">
        <v>5330</v>
      </c>
      <c r="O38" s="137">
        <v>5913</v>
      </c>
      <c r="P38" s="137">
        <v>13289</v>
      </c>
      <c r="Q38" s="137">
        <v>12085</v>
      </c>
      <c r="R38" s="138">
        <v>7920</v>
      </c>
      <c r="S38" s="190">
        <f>Resultatopgørelse!M15*$AF$39</f>
        <v>9153.2108499475962</v>
      </c>
      <c r="T38" s="190">
        <f>Resultatopgørelse!N15*$AF$39</f>
        <v>9433.5426489477777</v>
      </c>
      <c r="U38" s="190">
        <f>Resultatopgørelse!O15*$AF$39</f>
        <v>9722.4600600155663</v>
      </c>
      <c r="V38" s="190">
        <f>Resultatopgørelse!P15*$AF$39</f>
        <v>10445.22001737635</v>
      </c>
      <c r="W38" s="191">
        <f>Resultatopgørelse!Q15*$AF$39</f>
        <v>11221.709375808421</v>
      </c>
      <c r="AB38" s="125" t="s">
        <v>609</v>
      </c>
      <c r="AC38" s="23">
        <f>'EBIT &amp; FCF &amp; Balance'!P37/Resultatopgørelse!$G$15</f>
        <v>9.3469222077166958E-2</v>
      </c>
      <c r="AD38" s="23">
        <f>'EBIT &amp; FCF &amp; Balance'!Q37/Resultatopgørelse!$H$15</f>
        <v>6.3615725712345916E-2</v>
      </c>
      <c r="AE38" s="23">
        <f>'EBIT &amp; FCF &amp; Balance'!R37/Resultatopgørelse!$I$15</f>
        <v>8.6951619856086487E-2</v>
      </c>
      <c r="AF38" s="158">
        <f t="shared" si="10"/>
        <v>8.1345522548533125E-2</v>
      </c>
    </row>
    <row r="39" spans="3:32" ht="24">
      <c r="M39" s="189" t="s">
        <v>606</v>
      </c>
      <c r="N39" s="137">
        <v>1157</v>
      </c>
      <c r="O39" s="137">
        <v>1525</v>
      </c>
      <c r="P39" s="137">
        <v>1841</v>
      </c>
      <c r="Q39" s="137">
        <v>2407</v>
      </c>
      <c r="R39" s="138">
        <v>1967</v>
      </c>
      <c r="S39" s="190">
        <f>Resultatopgørelse!M15*$AF$40</f>
        <v>1727.9325859922087</v>
      </c>
      <c r="T39" s="190">
        <f>Resultatopgørelse!N15*$AF$40</f>
        <v>1780.8532996437471</v>
      </c>
      <c r="U39" s="190">
        <f>Resultatopgørelse!O15*$AF$40</f>
        <v>1835.3947952378749</v>
      </c>
      <c r="V39" s="190">
        <f>Resultatopgørelse!P15*$AF$40</f>
        <v>1971.8365862822914</v>
      </c>
      <c r="W39" s="191">
        <f>Resultatopgørelse!Q15*$AF$40</f>
        <v>2118.4213516838922</v>
      </c>
      <c r="AB39" s="125" t="s">
        <v>610</v>
      </c>
      <c r="AC39" s="23">
        <f>'EBIT &amp; FCF &amp; Balance'!P38/Resultatopgørelse!$G$15</f>
        <v>7.2893925597621576E-2</v>
      </c>
      <c r="AD39" s="23">
        <f>'EBIT &amp; FCF &amp; Balance'!Q38/Resultatopgørelse!$H$15</f>
        <v>5.1280419239174251E-2</v>
      </c>
      <c r="AE39" s="23">
        <f>'EBIT &amp; FCF &amp; Balance'!R38/Resultatopgørelse!$I$15</f>
        <v>5.2525118546274494E-2</v>
      </c>
      <c r="AF39" s="158">
        <f t="shared" si="10"/>
        <v>5.88998211276901E-2</v>
      </c>
    </row>
    <row r="40" spans="3:32" ht="17">
      <c r="M40" s="189" t="s">
        <v>611</v>
      </c>
      <c r="N40" s="137">
        <v>7201</v>
      </c>
      <c r="O40" s="137">
        <v>6316</v>
      </c>
      <c r="P40" s="137">
        <v>10257</v>
      </c>
      <c r="Q40" s="137">
        <v>9640</v>
      </c>
      <c r="R40" s="138">
        <v>8138</v>
      </c>
      <c r="S40" s="190">
        <f>Resultatopgørelse!M15*$AF$41</f>
        <v>7829.1507228787123</v>
      </c>
      <c r="T40" s="190">
        <f>Resultatopgørelse!N15*$AF$41</f>
        <v>8068.9310516363221</v>
      </c>
      <c r="U40" s="190">
        <f>Resultatopgørelse!O15*$AF$41</f>
        <v>8316.0550384858743</v>
      </c>
      <c r="V40" s="190">
        <f>Resultatopgørelse!P15*$AF$41</f>
        <v>8934.2639637911798</v>
      </c>
      <c r="W40" s="191">
        <f>Resultatopgørelse!Q15*$AF$41</f>
        <v>9598.430049499877</v>
      </c>
      <c r="AB40" s="125" t="s">
        <v>606</v>
      </c>
      <c r="AC40" s="23">
        <f>'EBIT &amp; FCF &amp; Balance'!P39/Resultatopgørelse!$G$15</f>
        <v>1.0098405976764341E-2</v>
      </c>
      <c r="AD40" s="23">
        <f>'EBIT &amp; FCF &amp; Balance'!Q39/Resultatopgørelse!$H$15</f>
        <v>1.0213650733032058E-2</v>
      </c>
      <c r="AE40" s="23">
        <f>'EBIT &amp; FCF &amp; Balance'!R39/Resultatopgørelse!$I$15</f>
        <v>1.3045064164207315E-2</v>
      </c>
      <c r="AF40" s="158">
        <f t="shared" si="10"/>
        <v>1.1119040291334571E-2</v>
      </c>
    </row>
    <row r="41" spans="3:32">
      <c r="M41" s="186" t="s">
        <v>624</v>
      </c>
      <c r="N41" s="137">
        <v>940</v>
      </c>
      <c r="O41" s="137">
        <v>1399</v>
      </c>
      <c r="P41" s="137">
        <v>3074</v>
      </c>
      <c r="Q41" s="137">
        <v>3254</v>
      </c>
      <c r="R41" s="138">
        <v>1256</v>
      </c>
      <c r="S41" s="190">
        <f>Resultatopgørelse!M15*$AF$42</f>
        <v>2020.199878519895</v>
      </c>
      <c r="T41" s="190">
        <f>Resultatopgørelse!N15*$AF$42</f>
        <v>2082.0717479184541</v>
      </c>
      <c r="U41" s="190">
        <f>Resultatopgørelse!O15*$AF$42</f>
        <v>2145.8385427962066</v>
      </c>
      <c r="V41" s="190">
        <f>Resultatopgørelse!P15*$AF$42</f>
        <v>2305.358475418283</v>
      </c>
      <c r="W41" s="191">
        <f>Resultatopgørelse!Q15*$AF$42</f>
        <v>2476.7369931092026</v>
      </c>
      <c r="AB41" s="125" t="s">
        <v>611</v>
      </c>
      <c r="AC41" s="23">
        <f>'EBIT &amp; FCF &amp; Balance'!P40/Resultatopgørelse!$G$15</f>
        <v>5.6262547584829903E-2</v>
      </c>
      <c r="AD41" s="23">
        <f>'EBIT &amp; FCF &amp; Balance'!Q40/Resultatopgørelse!$H$15</f>
        <v>4.0905522669891586E-2</v>
      </c>
      <c r="AE41" s="23">
        <f>'EBIT &amp; FCF &amp; Balance'!R40/Resultatopgørelse!$I$15</f>
        <v>5.3970885698179524E-2</v>
      </c>
      <c r="AF41" s="158">
        <f t="shared" si="10"/>
        <v>5.0379651984300333E-2</v>
      </c>
    </row>
    <row r="42" spans="3:32" ht="17">
      <c r="M42" s="187" t="s">
        <v>612</v>
      </c>
      <c r="N42" s="140">
        <f>SUM(N35:N41)</f>
        <v>29316</v>
      </c>
      <c r="O42" s="140">
        <f t="shared" ref="O42:Q42" si="21">SUM(O35:O41)</f>
        <v>29114</v>
      </c>
      <c r="P42" s="140">
        <f t="shared" si="21"/>
        <v>53413</v>
      </c>
      <c r="Q42" s="140">
        <f t="shared" si="21"/>
        <v>46769</v>
      </c>
      <c r="R42" s="141">
        <f>SUM(R35:R41)</f>
        <v>38339</v>
      </c>
      <c r="S42" s="141">
        <f>SUM(S35:S41)</f>
        <v>38628.197637793739</v>
      </c>
      <c r="T42" s="141">
        <f>SUM(T35:T41)</f>
        <v>39811.248297661274</v>
      </c>
      <c r="U42" s="141">
        <f t="shared" ref="U42" si="22">SUM(U35:U41)</f>
        <v>41030.531786120424</v>
      </c>
      <c r="V42" s="141">
        <f t="shared" ref="V42" si="23">SUM(V35:V41)</f>
        <v>44080.708924536892</v>
      </c>
      <c r="W42" s="188">
        <f>SUM(W35:W41)</f>
        <v>47357.633808369261</v>
      </c>
      <c r="Y42" s="155"/>
      <c r="AB42" s="124" t="s">
        <v>624</v>
      </c>
      <c r="AC42" s="23">
        <f>'EBIT &amp; FCF &amp; Balance'!P41/Resultatopgørelse!$G$15</f>
        <v>1.6861759898193149E-2</v>
      </c>
      <c r="AD42" s="23">
        <f>'EBIT &amp; FCF &amp; Balance'!Q41/Resultatopgørelse!$H$15</f>
        <v>1.3807735556828548E-2</v>
      </c>
      <c r="AE42" s="23">
        <f>'EBIT &amp; FCF &amp; Balance'!R41/Resultatopgørelse!$I$15</f>
        <v>8.329741021984945E-3</v>
      </c>
      <c r="AF42" s="158">
        <f t="shared" si="10"/>
        <v>1.2999745492335547E-2</v>
      </c>
    </row>
    <row r="43" spans="3:32" ht="25" thickBot="1">
      <c r="M43" s="195" t="s">
        <v>613</v>
      </c>
      <c r="N43" s="153">
        <f t="shared" ref="N43:S43" si="24">N42+N34</f>
        <v>48238</v>
      </c>
      <c r="O43" s="153">
        <f t="shared" si="24"/>
        <v>48953</v>
      </c>
      <c r="P43" s="153">
        <f t="shared" si="24"/>
        <v>87117</v>
      </c>
      <c r="Q43" s="153">
        <f t="shared" si="24"/>
        <v>87304</v>
      </c>
      <c r="R43" s="154">
        <f t="shared" si="24"/>
        <v>78144</v>
      </c>
      <c r="S43" s="154">
        <f t="shared" si="24"/>
        <v>75437.693750996608</v>
      </c>
      <c r="T43" s="154">
        <f t="shared" ref="T43:W43" si="25">T42+T34</f>
        <v>77748.094412395381</v>
      </c>
      <c r="U43" s="154">
        <f t="shared" si="25"/>
        <v>80129.2548087592</v>
      </c>
      <c r="V43" s="154">
        <f t="shared" si="25"/>
        <v>86085.999956739513</v>
      </c>
      <c r="W43" s="196">
        <f t="shared" si="25"/>
        <v>92485.564806995506</v>
      </c>
      <c r="AB43" s="110" t="s">
        <v>612</v>
      </c>
      <c r="AC43" s="23">
        <f>'EBIT &amp; FCF &amp; Balance'!P42/Resultatopgørelse!$G$15</f>
        <v>0.29298542011782386</v>
      </c>
      <c r="AD43" s="23">
        <f>'EBIT &amp; FCF &amp; Balance'!Q42/Resultatopgørelse!$H$15</f>
        <v>0.19845543462117837</v>
      </c>
      <c r="AE43" s="23">
        <f>'EBIT &amp; FCF &amp; Balance'!R42/Resultatopgørelse!$I$15</f>
        <v>0.25426269191232548</v>
      </c>
      <c r="AF43" s="158">
        <f>AVERAGE(AC43:AE43)</f>
        <v>0.24856784888377592</v>
      </c>
    </row>
    <row r="44" spans="3:32" ht="18" thickBot="1">
      <c r="M44" s="152" t="s">
        <v>614</v>
      </c>
      <c r="N44" s="153">
        <f t="shared" ref="N44:S44" si="26">SUM(N43+N28)</f>
        <v>97557</v>
      </c>
      <c r="O44" s="153">
        <f t="shared" si="26"/>
        <v>96250</v>
      </c>
      <c r="P44" s="153">
        <f t="shared" si="26"/>
        <v>161395</v>
      </c>
      <c r="Q44" s="153">
        <f t="shared" si="26"/>
        <v>159045</v>
      </c>
      <c r="R44" s="154">
        <f t="shared" si="26"/>
        <v>147110</v>
      </c>
      <c r="S44" s="154">
        <f t="shared" si="26"/>
        <v>136685.11740634541</v>
      </c>
      <c r="T44" s="154">
        <f t="shared" ref="T44:V44" si="27">SUM(T43+T28)</f>
        <v>140871.31889205586</v>
      </c>
      <c r="U44" s="154">
        <f t="shared" si="27"/>
        <v>145185.72952892701</v>
      </c>
      <c r="V44" s="154">
        <f t="shared" si="27"/>
        <v>155978.72132688493</v>
      </c>
      <c r="W44" s="154">
        <f>SUM(W43+W28)</f>
        <v>167574.0555611742</v>
      </c>
      <c r="AB44" s="112" t="s">
        <v>613</v>
      </c>
      <c r="AC44" s="23">
        <f>'EBIT &amp; FCF &amp; Balance'!P43/Resultatopgørelse!$G$15</f>
        <v>0.47786139786951609</v>
      </c>
      <c r="AD44" s="23">
        <f>'EBIT &amp; FCF &amp; Balance'!Q43/Resultatopgørelse!$H$15</f>
        <v>0.37045806547429616</v>
      </c>
      <c r="AE44" s="23">
        <f>'EBIT &amp; FCF &amp; Balance'!R43/Resultatopgørelse!$I$15</f>
        <v>0.51824783632324167</v>
      </c>
      <c r="AF44" s="158">
        <f t="shared" si="10"/>
        <v>0.45552243322235131</v>
      </c>
    </row>
    <row r="45" spans="3:32" ht="24">
      <c r="M45" s="129"/>
      <c r="N45" s="129"/>
      <c r="O45" s="129"/>
      <c r="P45" s="130"/>
      <c r="Q45" s="130"/>
      <c r="R45" s="162"/>
      <c r="AB45" s="112" t="s">
        <v>614</v>
      </c>
      <c r="AC45" s="23">
        <f>'EBIT &amp; FCF &amp; Balance'!P44/Resultatopgørelse!$G$15</f>
        <v>0.88529724748499772</v>
      </c>
      <c r="AD45" s="23">
        <f>'EBIT &amp; FCF &amp; Balance'!Q44/Resultatopgørelse!$H$15</f>
        <v>0.67487747438100698</v>
      </c>
      <c r="AE45" s="23">
        <f>'EBIT &amp; FCF &amp; Balance'!R44/Resultatopgørelse!$I$15</f>
        <v>0.9756275491593992</v>
      </c>
      <c r="AF45" s="158">
        <f>AVERAGE(AC45:AE45)</f>
        <v>0.84526742367513463</v>
      </c>
    </row>
    <row r="46" spans="3:32" ht="18" thickBot="1">
      <c r="M46" s="152" t="s">
        <v>615</v>
      </c>
      <c r="N46" s="153">
        <f>+N20-N18-N42+N36+N35+N41-N19</f>
        <v>2569</v>
      </c>
      <c r="O46" s="153">
        <f>+O20-O18-O42+O36+O35+O41-O19-1</f>
        <v>2701</v>
      </c>
      <c r="P46" s="153">
        <f>+P20-P18-P42+P36+P35+P41-P19-1</f>
        <v>8031</v>
      </c>
      <c r="Q46" s="153">
        <f>+Q20-Q18-Q42+Q36+Q35+Q41-Q19</f>
        <v>5116</v>
      </c>
      <c r="R46" s="154">
        <f>+R20-R18-R42+R36+R35+R41-R19</f>
        <v>4742</v>
      </c>
      <c r="S46" s="154">
        <f>+S20-S18-S42+S36+S35+S41-S19</f>
        <v>5035.852173875357</v>
      </c>
      <c r="T46" s="154">
        <f>+T20-T18-T42+T36+T35+T41-T19</f>
        <v>5190.0832434469376</v>
      </c>
      <c r="U46" s="154">
        <f t="shared" ref="U46:V46" si="28">+U20-U18-U42+U36+U35+U41-U19</f>
        <v>5349.0378875000115</v>
      </c>
      <c r="V46" s="154">
        <f t="shared" si="28"/>
        <v>5746.681114792882</v>
      </c>
      <c r="W46" s="154">
        <f>+W20-W18-W42+W36+W35+W41-W19</f>
        <v>6173.8848237158072</v>
      </c>
    </row>
    <row r="47" spans="3:32" ht="18" thickBot="1">
      <c r="M47" s="152" t="s">
        <v>631</v>
      </c>
      <c r="N47" s="3">
        <f>N46-1767</f>
        <v>802</v>
      </c>
      <c r="O47" s="3">
        <f>N46-O46</f>
        <v>-132</v>
      </c>
      <c r="P47" s="3">
        <f>O46-P46</f>
        <v>-5330</v>
      </c>
      <c r="Q47" s="3">
        <f t="shared" ref="Q47:R47" si="29">P46-Q46</f>
        <v>2915</v>
      </c>
      <c r="R47" s="3">
        <f t="shared" si="29"/>
        <v>374</v>
      </c>
      <c r="S47" s="3">
        <f>R46-S46</f>
        <v>-293.85217387535704</v>
      </c>
      <c r="T47" s="3">
        <f t="shared" ref="T47" si="30">S46-T46</f>
        <v>-154.23106957158052</v>
      </c>
      <c r="U47" s="3">
        <f t="shared" ref="U47" si="31">T46-U46</f>
        <v>-158.95464405307393</v>
      </c>
      <c r="V47" s="3">
        <f t="shared" ref="V47" si="32">U46-V46</f>
        <v>-397.64322729287051</v>
      </c>
      <c r="W47" s="3">
        <f t="shared" ref="W47" si="33">V46-W46</f>
        <v>-427.20370892292522</v>
      </c>
      <c r="AE47" t="s">
        <v>730</v>
      </c>
    </row>
    <row r="48" spans="3:32">
      <c r="M48" s="129" t="s">
        <v>625</v>
      </c>
      <c r="O48" s="3"/>
      <c r="R48" s="162"/>
      <c r="T48" s="4">
        <f>SUM(S49:S51)</f>
        <v>0</v>
      </c>
    </row>
    <row r="49" spans="13:24" ht="17" thickBot="1">
      <c r="M49" s="152"/>
      <c r="O49" s="3"/>
      <c r="R49" s="163"/>
      <c r="S49" s="4"/>
    </row>
    <row r="50" spans="13:24">
      <c r="M50" s="165"/>
      <c r="O50" s="3"/>
      <c r="R50" s="163"/>
      <c r="S50" s="4"/>
    </row>
    <row r="51" spans="13:24">
      <c r="M51" s="165"/>
      <c r="O51" s="3"/>
      <c r="S51" s="87"/>
    </row>
    <row r="52" spans="13:24" ht="17">
      <c r="M52" s="165" t="s">
        <v>633</v>
      </c>
      <c r="N52">
        <v>2019</v>
      </c>
      <c r="O52" s="3">
        <v>2020</v>
      </c>
      <c r="P52">
        <v>2021</v>
      </c>
      <c r="Q52" s="3">
        <v>2022</v>
      </c>
      <c r="R52">
        <v>2023</v>
      </c>
    </row>
    <row r="53" spans="13:24">
      <c r="M53" t="s">
        <v>701</v>
      </c>
      <c r="N53">
        <v>1371</v>
      </c>
      <c r="O53">
        <v>-556</v>
      </c>
      <c r="P53">
        <v>420</v>
      </c>
      <c r="Q53">
        <v>-966</v>
      </c>
      <c r="R53" s="167">
        <v>-2030</v>
      </c>
    </row>
    <row r="54" spans="13:24">
      <c r="O54" s="3"/>
      <c r="R54" s="164"/>
    </row>
    <row r="55" spans="13:24">
      <c r="M55" s="58" t="s">
        <v>636</v>
      </c>
      <c r="N55">
        <v>2019</v>
      </c>
      <c r="O55">
        <v>20</v>
      </c>
      <c r="P55">
        <v>2021</v>
      </c>
      <c r="Q55">
        <v>2022</v>
      </c>
      <c r="R55" s="166">
        <v>2023</v>
      </c>
      <c r="S55" t="s">
        <v>637</v>
      </c>
      <c r="U55" t="s">
        <v>700</v>
      </c>
    </row>
    <row r="56" spans="13:24">
      <c r="M56" t="s">
        <v>634</v>
      </c>
      <c r="N56" s="22">
        <f>N53/Resultatopgørelse!E15</f>
        <v>1.4477143852757626E-2</v>
      </c>
      <c r="O56" s="22">
        <f>O53/Resultatopgørelse!F15</f>
        <v>-4.7959148466342342E-3</v>
      </c>
      <c r="P56" s="22">
        <f>P53/Resultatopgørelse!G15</f>
        <v>2.3038188540146784E-3</v>
      </c>
      <c r="Q56" s="22">
        <f>Q53/Resultatopgørelse!H15</f>
        <v>-4.0990388899497165E-3</v>
      </c>
      <c r="R56" s="22">
        <f>R53/Resultatopgørelse!I15</f>
        <v>-1.3462877607189044E-2</v>
      </c>
      <c r="S56" s="126">
        <f>AVERAGE(N56:R56)</f>
        <v>-1.1153737274001382E-3</v>
      </c>
      <c r="T56" s="43"/>
      <c r="U56" s="43">
        <f>X65+(0.5*S56)</f>
        <v>-2.6478969776825966E-2</v>
      </c>
    </row>
    <row r="57" spans="13:24">
      <c r="M57" t="s">
        <v>731</v>
      </c>
    </row>
    <row r="58" spans="13:24" ht="17" thickBot="1"/>
    <row r="59" spans="13:24">
      <c r="R59" s="383" t="s">
        <v>699</v>
      </c>
      <c r="S59" s="384"/>
      <c r="T59" s="385"/>
      <c r="U59" s="386" t="s">
        <v>698</v>
      </c>
      <c r="V59" s="387"/>
      <c r="W59" s="387"/>
      <c r="X59" s="388"/>
    </row>
    <row r="60" spans="13:24">
      <c r="N60" s="2"/>
      <c r="R60" s="168" t="s">
        <v>692</v>
      </c>
      <c r="S60" s="85">
        <v>35000000000</v>
      </c>
      <c r="T60" s="208"/>
      <c r="U60" s="389"/>
      <c r="V60" s="390"/>
      <c r="W60" s="390"/>
      <c r="X60" s="391"/>
    </row>
    <row r="61" spans="13:24">
      <c r="R61" s="168" t="s">
        <v>693</v>
      </c>
      <c r="S61" t="s">
        <v>697</v>
      </c>
      <c r="T61" s="208">
        <v>8</v>
      </c>
      <c r="U61" s="389"/>
      <c r="V61" s="390"/>
      <c r="W61" s="390"/>
      <c r="X61" s="391"/>
    </row>
    <row r="62" spans="13:24" ht="17" thickBot="1">
      <c r="N62" s="4"/>
      <c r="R62" s="74" t="s">
        <v>694</v>
      </c>
      <c r="S62" s="172">
        <f>S60/T61</f>
        <v>4375000000</v>
      </c>
      <c r="T62" s="230"/>
      <c r="U62" s="389"/>
      <c r="V62" s="390"/>
      <c r="W62" s="390"/>
      <c r="X62" s="391"/>
    </row>
    <row r="63" spans="13:24" ht="17" thickBot="1">
      <c r="R63" s="229" t="s">
        <v>575</v>
      </c>
      <c r="S63">
        <v>2024</v>
      </c>
      <c r="T63">
        <v>2025</v>
      </c>
      <c r="U63">
        <v>2026</v>
      </c>
      <c r="V63">
        <v>2027</v>
      </c>
      <c r="W63">
        <v>2028</v>
      </c>
      <c r="X63" s="208"/>
    </row>
    <row r="64" spans="13:24">
      <c r="R64" s="228" t="s">
        <v>696</v>
      </c>
      <c r="S64" s="231">
        <f>-$S$62/1000000</f>
        <v>-4375</v>
      </c>
      <c r="T64" s="231">
        <f t="shared" ref="T64:U64" si="34">-$S$62/1000000</f>
        <v>-4375</v>
      </c>
      <c r="U64" s="231">
        <f t="shared" si="34"/>
        <v>-4375</v>
      </c>
      <c r="V64" s="231">
        <f>-$S$62/1000000</f>
        <v>-4375</v>
      </c>
      <c r="W64" s="231">
        <f>-$S$62/1000000</f>
        <v>-4375</v>
      </c>
      <c r="X64" s="208" t="s">
        <v>8</v>
      </c>
    </row>
    <row r="65" spans="13:24" ht="17" thickBot="1">
      <c r="M65" s="227"/>
      <c r="N65" s="227"/>
      <c r="O65" s="227"/>
      <c r="P65" s="227"/>
      <c r="Q65" s="227"/>
      <c r="R65" s="232" t="s">
        <v>636</v>
      </c>
      <c r="S65" s="234">
        <f>$S$64/Resultatopgørelse!M15</f>
        <v>-2.8152603677333566E-2</v>
      </c>
      <c r="T65" s="234">
        <f>$S$64/Resultatopgørelse!N15</f>
        <v>-2.731600704242183E-2</v>
      </c>
      <c r="U65" s="234">
        <f>$S$64/Resultatopgørelse!O15</f>
        <v>-2.6504271125103659E-2</v>
      </c>
      <c r="V65" s="234">
        <f>$S$64/Resultatopgørelse!P15</f>
        <v>-2.467030057815579E-2</v>
      </c>
      <c r="W65" s="234">
        <f>$S$64/Resultatopgørelse!Q15</f>
        <v>-2.2963232142614656E-2</v>
      </c>
      <c r="X65" s="233">
        <f>AVERAGE(S65:W65)</f>
        <v>-2.5921282913125898E-2</v>
      </c>
    </row>
    <row r="66" spans="13:24">
      <c r="M66" s="226"/>
      <c r="N66" s="226"/>
      <c r="O66" s="226"/>
      <c r="P66" s="226"/>
      <c r="Q66" s="226"/>
      <c r="S66" t="s">
        <v>695</v>
      </c>
    </row>
    <row r="68" spans="13:24">
      <c r="M68" s="113"/>
    </row>
  </sheetData>
  <mergeCells count="4">
    <mergeCell ref="C4:H4"/>
    <mergeCell ref="AC5:AF5"/>
    <mergeCell ref="R59:T59"/>
    <mergeCell ref="U59:X62"/>
  </mergeCells>
  <phoneticPr fontId="18" type="noConversion"/>
  <pageMargins left="0.7" right="0.7" top="0.75" bottom="0.75" header="0.3" footer="0.3"/>
  <ignoredErrors>
    <ignoredError sqref="O5:P5 O23:P23" numberStoredAsText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1B8B-56D1-E541-BF7A-1C84DF6B49CC}">
  <dimension ref="C4:L25"/>
  <sheetViews>
    <sheetView workbookViewId="0">
      <selection activeCell="K12" sqref="K12"/>
    </sheetView>
  </sheetViews>
  <sheetFormatPr baseColWidth="10" defaultRowHeight="16"/>
  <cols>
    <col min="3" max="3" width="56.1640625" bestFit="1" customWidth="1"/>
    <col min="4" max="4" width="24.33203125" bestFit="1" customWidth="1"/>
    <col min="5" max="8" width="12.6640625" bestFit="1" customWidth="1"/>
    <col min="9" max="9" width="21.33203125" bestFit="1" customWidth="1"/>
  </cols>
  <sheetData>
    <row r="4" spans="3:12" ht="27">
      <c r="C4" s="322" t="s">
        <v>712</v>
      </c>
      <c r="D4" s="323">
        <v>1</v>
      </c>
      <c r="E4" s="323">
        <v>2</v>
      </c>
      <c r="F4" s="323">
        <v>3</v>
      </c>
      <c r="G4" s="323">
        <v>4</v>
      </c>
      <c r="H4" s="323">
        <v>5</v>
      </c>
      <c r="I4" s="324">
        <v>6</v>
      </c>
    </row>
    <row r="5" spans="3:12" ht="27">
      <c r="C5" s="331" t="s">
        <v>670</v>
      </c>
      <c r="D5" s="332" t="s">
        <v>684</v>
      </c>
      <c r="E5" s="332" t="s">
        <v>685</v>
      </c>
      <c r="F5" s="332" t="s">
        <v>686</v>
      </c>
      <c r="G5" s="332" t="s">
        <v>687</v>
      </c>
      <c r="H5" s="332" t="s">
        <v>688</v>
      </c>
      <c r="I5" s="333" t="s">
        <v>678</v>
      </c>
    </row>
    <row r="6" spans="3:12" ht="27">
      <c r="C6" s="325" t="s">
        <v>671</v>
      </c>
      <c r="D6" s="274">
        <f>'EBIT &amp; FCF &amp; Balance'!D22</f>
        <v>11579.946791588402</v>
      </c>
      <c r="E6" s="274">
        <f>'EBIT &amp; FCF &amp; Balance'!E22</f>
        <v>12083.221374779729</v>
      </c>
      <c r="F6" s="274">
        <f>'EBIT &amp; FCF &amp; Balance'!F22</f>
        <v>12453.28875166623</v>
      </c>
      <c r="G6" s="274">
        <f>'EBIT &amp; FCF &amp; Balance'!G22</f>
        <v>13152.215483077696</v>
      </c>
      <c r="H6" s="274">
        <f>'EBIT &amp; FCF &amp; Balance'!H22</f>
        <v>14129.936578208042</v>
      </c>
      <c r="I6" s="326">
        <f>'Terminal Value Model'!I24</f>
        <v>355302.3626468053</v>
      </c>
    </row>
    <row r="7" spans="3:12" ht="27">
      <c r="C7" s="325" t="s">
        <v>672</v>
      </c>
      <c r="D7" s="275">
        <f>1/(1+D9)^D4</f>
        <v>0.92978390169747172</v>
      </c>
      <c r="E7" s="275">
        <f>1/(1+$D$9)^E4</f>
        <v>0.86449810385577375</v>
      </c>
      <c r="F7" s="275">
        <f t="shared" ref="F7:H7" si="0">1/(1+$D$9)^F4</f>
        <v>0.80379642001308738</v>
      </c>
      <c r="G7" s="275">
        <f t="shared" si="0"/>
        <v>0.74735697157022818</v>
      </c>
      <c r="H7" s="275">
        <f t="shared" si="0"/>
        <v>0.69488048098737321</v>
      </c>
      <c r="I7" s="327">
        <f>H7</f>
        <v>0.69488048098737321</v>
      </c>
    </row>
    <row r="8" spans="3:12" ht="27">
      <c r="C8" s="288" t="s">
        <v>673</v>
      </c>
      <c r="D8" s="286">
        <f>D6*D7</f>
        <v>10766.848109332183</v>
      </c>
      <c r="E8" s="286">
        <f>E6*E7</f>
        <v>10445.921966966631</v>
      </c>
      <c r="F8" s="286">
        <f t="shared" ref="F8" si="1">F6*F7</f>
        <v>10009.908915978565</v>
      </c>
      <c r="G8" s="286">
        <f>G6*G7</f>
        <v>9829.3999328720129</v>
      </c>
      <c r="H8" s="286">
        <f>H6*H7</f>
        <v>9818.6171257862825</v>
      </c>
      <c r="I8" s="289">
        <f>I6*I7</f>
        <v>246892.67665196216</v>
      </c>
      <c r="L8" s="4"/>
    </row>
    <row r="9" spans="3:12" ht="27">
      <c r="C9" s="325" t="s">
        <v>640</v>
      </c>
      <c r="D9" s="330">
        <f>WACC!I18</f>
        <v>7.5518728786697034E-2</v>
      </c>
      <c r="E9" s="175"/>
      <c r="F9" s="175"/>
      <c r="G9" s="175"/>
      <c r="H9" s="175"/>
      <c r="I9" s="328"/>
    </row>
    <row r="10" spans="3:12" ht="28" thickBot="1">
      <c r="C10" s="336" t="s">
        <v>679</v>
      </c>
      <c r="D10" s="287">
        <f>'Årlig vækst'!D45+0.005</f>
        <v>3.4382608695652184E-2</v>
      </c>
      <c r="E10" s="175"/>
      <c r="F10" s="175"/>
      <c r="G10" s="175"/>
      <c r="H10" s="175"/>
      <c r="I10" s="328"/>
      <c r="K10" s="4"/>
    </row>
    <row r="11" spans="3:12" ht="28" thickBot="1">
      <c r="C11" s="337" t="s">
        <v>683</v>
      </c>
      <c r="D11" s="338">
        <f>SUM(D8:I8)</f>
        <v>297763.37270289782</v>
      </c>
      <c r="E11" s="175"/>
      <c r="F11" s="175"/>
      <c r="G11" s="175"/>
      <c r="H11" s="175"/>
      <c r="I11" s="328"/>
    </row>
    <row r="12" spans="3:12" ht="33" customHeight="1">
      <c r="C12" s="341" t="s">
        <v>717</v>
      </c>
      <c r="D12" s="342">
        <f>WACC!R14/1000000</f>
        <v>34583</v>
      </c>
      <c r="E12" s="175"/>
      <c r="F12" s="175"/>
      <c r="G12" s="175"/>
      <c r="H12" s="175"/>
      <c r="I12" s="328"/>
    </row>
    <row r="13" spans="3:12" ht="32" customHeight="1" thickBot="1">
      <c r="C13" s="343" t="s">
        <v>716</v>
      </c>
      <c r="D13" s="344">
        <f>'EBIT &amp; FCF &amp; Balance'!R18</f>
        <v>6452</v>
      </c>
      <c r="E13" s="175"/>
      <c r="F13" s="175"/>
      <c r="G13" s="175"/>
      <c r="H13" s="175"/>
      <c r="I13" s="328"/>
    </row>
    <row r="14" spans="3:12" ht="40" customHeight="1" thickBot="1">
      <c r="C14" s="334" t="s">
        <v>713</v>
      </c>
      <c r="D14" s="335">
        <f>D11-D12+D13</f>
        <v>269632.37270289782</v>
      </c>
      <c r="E14" s="175"/>
      <c r="F14" s="175"/>
      <c r="G14" s="175"/>
      <c r="H14" s="175"/>
      <c r="I14" s="328"/>
      <c r="K14" s="4"/>
    </row>
    <row r="15" spans="3:12" ht="28" thickBot="1">
      <c r="C15" s="244" t="s">
        <v>715</v>
      </c>
      <c r="D15" s="345">
        <v>219</v>
      </c>
      <c r="E15" s="175"/>
      <c r="F15" s="175"/>
      <c r="G15" s="175"/>
      <c r="H15" s="175"/>
      <c r="I15" s="328"/>
    </row>
    <row r="16" spans="3:12" ht="45" customHeight="1" thickBot="1">
      <c r="C16" s="339" t="s">
        <v>714</v>
      </c>
      <c r="D16" s="340">
        <f>D14/D15</f>
        <v>1231.1980488716795</v>
      </c>
      <c r="E16" s="285"/>
      <c r="F16" s="285"/>
      <c r="G16" s="285"/>
      <c r="H16" s="285"/>
      <c r="I16" s="329"/>
    </row>
    <row r="19" spans="4:6">
      <c r="F19" s="256"/>
    </row>
    <row r="20" spans="4:6">
      <c r="F20" s="87"/>
    </row>
    <row r="21" spans="4:6">
      <c r="D21" s="224"/>
      <c r="F21" s="4"/>
    </row>
    <row r="25" spans="4:6">
      <c r="D25" s="256"/>
    </row>
  </sheetData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25A7-C416-F54C-B8C2-1EDDE92A078B}">
  <dimension ref="B12:P24"/>
  <sheetViews>
    <sheetView workbookViewId="0">
      <selection activeCell="S29" sqref="S29"/>
    </sheetView>
  </sheetViews>
  <sheetFormatPr baseColWidth="10" defaultRowHeight="16"/>
  <cols>
    <col min="6" max="6" width="13" customWidth="1"/>
    <col min="7" max="7" width="19.5" customWidth="1"/>
    <col min="8" max="8" width="3.33203125" customWidth="1"/>
    <col min="9" max="9" width="12.1640625" bestFit="1" customWidth="1"/>
    <col min="10" max="10" width="3.1640625" customWidth="1"/>
    <col min="11" max="11" width="6.5" customWidth="1"/>
    <col min="12" max="12" width="3.6640625" customWidth="1"/>
    <col min="13" max="13" width="3.5" customWidth="1"/>
    <col min="14" max="14" width="4.1640625" customWidth="1"/>
    <col min="15" max="15" width="3.1640625" customWidth="1"/>
  </cols>
  <sheetData>
    <row r="12" spans="2:16">
      <c r="B12" t="s">
        <v>704</v>
      </c>
    </row>
    <row r="14" spans="2:16" ht="17" thickBot="1"/>
    <row r="15" spans="2:16" ht="17" thickBot="1">
      <c r="F15" s="108"/>
      <c r="G15" s="379" t="s">
        <v>706</v>
      </c>
      <c r="H15" s="380"/>
      <c r="I15" s="380"/>
      <c r="J15" s="380"/>
      <c r="K15" s="380"/>
      <c r="L15" s="380"/>
      <c r="M15" s="380"/>
      <c r="N15" s="380"/>
      <c r="O15" s="380"/>
      <c r="P15" s="392"/>
    </row>
    <row r="16" spans="2:16" ht="17" thickBot="1">
      <c r="G16" s="393" t="s">
        <v>705</v>
      </c>
      <c r="H16" s="276" t="s">
        <v>649</v>
      </c>
      <c r="I16" s="277">
        <f>DCF!H6</f>
        <v>14129.936578208042</v>
      </c>
      <c r="J16" s="276" t="s">
        <v>645</v>
      </c>
      <c r="K16" s="276" t="s">
        <v>649</v>
      </c>
      <c r="L16" s="276">
        <v>1</v>
      </c>
      <c r="M16" s="276" t="s">
        <v>646</v>
      </c>
      <c r="N16" s="278">
        <f>DCF!D10</f>
        <v>3.4382608695652184E-2</v>
      </c>
      <c r="O16" s="276" t="s">
        <v>662</v>
      </c>
      <c r="P16" s="200" t="s">
        <v>662</v>
      </c>
    </row>
    <row r="17" spans="7:16">
      <c r="G17" s="394"/>
      <c r="J17" t="s">
        <v>649</v>
      </c>
      <c r="K17" s="43">
        <f>WACC!I18</f>
        <v>7.5518728786697034E-2</v>
      </c>
      <c r="L17" t="s">
        <v>21</v>
      </c>
      <c r="M17" s="45">
        <f>DCF!D10</f>
        <v>3.4382608695652184E-2</v>
      </c>
      <c r="N17" t="s">
        <v>662</v>
      </c>
      <c r="P17" s="208"/>
    </row>
    <row r="18" spans="7:16">
      <c r="G18" s="168"/>
      <c r="P18" s="208"/>
    </row>
    <row r="19" spans="7:16">
      <c r="G19" s="168"/>
      <c r="P19" s="208"/>
    </row>
    <row r="20" spans="7:16" ht="17" thickBot="1">
      <c r="G20" s="394" t="s">
        <v>705</v>
      </c>
      <c r="H20" s="395">
        <f>(I16*(L16+N16))</f>
        <v>14615.760658470952</v>
      </c>
      <c r="I20" s="395"/>
      <c r="J20" s="395"/>
      <c r="K20" s="395"/>
      <c r="L20" s="395"/>
      <c r="M20" s="395"/>
      <c r="N20" s="395"/>
      <c r="O20" s="395"/>
      <c r="P20" s="396"/>
    </row>
    <row r="21" spans="7:16">
      <c r="G21" s="394"/>
      <c r="H21" s="397">
        <f>(K17-M17)</f>
        <v>4.113612009104485E-2</v>
      </c>
      <c r="I21" s="398"/>
      <c r="J21" s="398"/>
      <c r="K21" s="398"/>
      <c r="L21" s="398"/>
      <c r="M21" s="398"/>
      <c r="N21" s="398"/>
      <c r="O21" s="398"/>
      <c r="P21" s="399"/>
    </row>
    <row r="22" spans="7:16">
      <c r="G22" s="168"/>
      <c r="P22" s="208"/>
    </row>
    <row r="23" spans="7:16">
      <c r="G23" s="279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7:16" ht="17" thickBot="1">
      <c r="G24" s="282" t="s">
        <v>705</v>
      </c>
      <c r="H24" s="283"/>
      <c r="I24" s="321">
        <f>H20/H21</f>
        <v>355302.3626468053</v>
      </c>
      <c r="J24" s="283"/>
      <c r="K24" s="283"/>
      <c r="L24" s="283"/>
      <c r="M24" s="283"/>
      <c r="N24" s="283"/>
      <c r="O24" s="283"/>
      <c r="P24" s="284"/>
    </row>
  </sheetData>
  <mergeCells count="5">
    <mergeCell ref="G15:P15"/>
    <mergeCell ref="G16:G17"/>
    <mergeCell ref="G20:G21"/>
    <mergeCell ref="H20:P20"/>
    <mergeCell ref="H21:P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1</vt:i4>
      </vt:variant>
    </vt:vector>
  </HeadingPairs>
  <TitlesOfParts>
    <vt:vector size="11" baseType="lpstr">
      <vt:lpstr>Relativ værdiansættelse</vt:lpstr>
      <vt:lpstr>Årlig vækst</vt:lpstr>
      <vt:lpstr>DSV - Betaværdi</vt:lpstr>
      <vt:lpstr>CAPM</vt:lpstr>
      <vt:lpstr>WACC</vt:lpstr>
      <vt:lpstr>Resultatopgørelse</vt:lpstr>
      <vt:lpstr>EBIT &amp; FCF &amp; Balance</vt:lpstr>
      <vt:lpstr>DCF</vt:lpstr>
      <vt:lpstr>Terminal Value Model</vt:lpstr>
      <vt:lpstr>Følsomhedsanalyse</vt:lpstr>
      <vt:lpstr>WACC!_ftn1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Gehl Nielsen</dc:creator>
  <cp:lastModifiedBy>Oliver Gehl Nielsen</cp:lastModifiedBy>
  <dcterms:created xsi:type="dcterms:W3CDTF">2024-04-06T07:25:25Z</dcterms:created>
  <dcterms:modified xsi:type="dcterms:W3CDTF">2024-04-15T06:22:31Z</dcterms:modified>
</cp:coreProperties>
</file>